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pru\OneDrive\Escritorio\Año 2025\Balances 2025\"/>
    </mc:Choice>
  </mc:AlternateContent>
  <bookViews>
    <workbookView xWindow="0" yWindow="0" windowWidth="28770" windowHeight="12180" tabRatio="765"/>
  </bookViews>
  <sheets>
    <sheet name="PIE ALINE 24 HORAS" sheetId="4" r:id="rId1"/>
    <sheet name="Hoja1" sheetId="5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5" i="4" l="1"/>
  <c r="M44" i="4"/>
  <c r="M42" i="4"/>
  <c r="M41" i="4"/>
  <c r="M40" i="4"/>
  <c r="M34" i="4"/>
  <c r="M31" i="4"/>
  <c r="M28" i="4"/>
  <c r="M27" i="4"/>
  <c r="M24" i="4"/>
  <c r="M23" i="4"/>
  <c r="M8" i="4"/>
  <c r="L45" i="4" l="1"/>
  <c r="L44" i="4"/>
  <c r="L42" i="4"/>
  <c r="L41" i="4"/>
  <c r="L40" i="4"/>
  <c r="L39" i="4"/>
  <c r="L34" i="4"/>
  <c r="L31" i="4"/>
  <c r="L28" i="4"/>
  <c r="L27" i="4"/>
  <c r="L24" i="4"/>
  <c r="L23" i="4"/>
  <c r="L10" i="4"/>
  <c r="L8" i="4"/>
  <c r="K34" i="4" l="1"/>
  <c r="K45" i="4"/>
  <c r="K42" i="4"/>
  <c r="K41" i="4"/>
  <c r="K40" i="4"/>
  <c r="K31" i="4"/>
  <c r="K28" i="4"/>
  <c r="K27" i="4"/>
  <c r="K24" i="4"/>
  <c r="K23" i="4"/>
  <c r="K8" i="4"/>
  <c r="J45" i="4" l="1"/>
  <c r="J44" i="4"/>
  <c r="J42" i="4"/>
  <c r="J41" i="4"/>
  <c r="J40" i="4"/>
  <c r="J39" i="4"/>
  <c r="J34" i="4"/>
  <c r="J31" i="4"/>
  <c r="J28" i="4"/>
  <c r="J27" i="4"/>
  <c r="J24" i="4"/>
  <c r="J23" i="4"/>
  <c r="J8" i="4"/>
  <c r="I28" i="4" l="1"/>
  <c r="I27" i="4"/>
  <c r="I24" i="4"/>
  <c r="I23" i="4"/>
  <c r="I8" i="4"/>
  <c r="H28" i="4" l="1"/>
  <c r="H27" i="4"/>
  <c r="H24" i="4"/>
  <c r="H23" i="4"/>
  <c r="H8" i="4"/>
  <c r="G39" i="4" l="1"/>
  <c r="G28" i="4"/>
  <c r="G27" i="4" l="1"/>
  <c r="G24" i="4"/>
  <c r="G23" i="4"/>
  <c r="G8" i="4"/>
  <c r="D44" i="4" l="1"/>
  <c r="D45" i="4"/>
  <c r="D42" i="4"/>
  <c r="D41" i="4"/>
  <c r="D34" i="4"/>
  <c r="D28" i="4"/>
  <c r="D27" i="4"/>
  <c r="D8" i="4"/>
  <c r="C45" i="4"/>
  <c r="C44" i="4"/>
  <c r="C42" i="4"/>
  <c r="C41" i="4"/>
  <c r="C39" i="4"/>
  <c r="C34" i="4"/>
  <c r="C27" i="4"/>
  <c r="C28" i="4"/>
  <c r="B44" i="4"/>
  <c r="B42" i="4"/>
  <c r="B41" i="4"/>
  <c r="B35" i="4"/>
  <c r="B27" i="4"/>
  <c r="B34" i="4"/>
  <c r="B47" i="4" l="1"/>
  <c r="B8" i="4"/>
  <c r="N25" i="4" l="1"/>
  <c r="N9" i="4" l="1"/>
  <c r="N6" i="4" l="1"/>
  <c r="N8" i="4"/>
  <c r="N10" i="4"/>
  <c r="N11" i="4"/>
  <c r="N12" i="4"/>
  <c r="N13" i="4"/>
  <c r="N14" i="4"/>
  <c r="N15" i="4"/>
  <c r="N16" i="4"/>
  <c r="B17" i="4"/>
  <c r="C17" i="4"/>
  <c r="D17" i="4"/>
  <c r="E17" i="4"/>
  <c r="F17" i="4"/>
  <c r="G17" i="4"/>
  <c r="H17" i="4"/>
  <c r="I17" i="4"/>
  <c r="J17" i="4"/>
  <c r="K17" i="4"/>
  <c r="L17" i="4"/>
  <c r="M17" i="4"/>
  <c r="N21" i="4"/>
  <c r="N22" i="4"/>
  <c r="N23" i="4"/>
  <c r="N24" i="4"/>
  <c r="N26" i="4"/>
  <c r="N27" i="4"/>
  <c r="N28" i="4"/>
  <c r="B29" i="4"/>
  <c r="C29" i="4"/>
  <c r="D29" i="4"/>
  <c r="E29" i="4"/>
  <c r="F29" i="4"/>
  <c r="G29" i="4"/>
  <c r="H29" i="4"/>
  <c r="I29" i="4"/>
  <c r="J29" i="4"/>
  <c r="K29" i="4"/>
  <c r="L29" i="4"/>
  <c r="M29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C47" i="4"/>
  <c r="D47" i="4"/>
  <c r="E47" i="4"/>
  <c r="F47" i="4"/>
  <c r="G47" i="4"/>
  <c r="H47" i="4"/>
  <c r="I47" i="4"/>
  <c r="J47" i="4"/>
  <c r="K47" i="4"/>
  <c r="L47" i="4"/>
  <c r="M47" i="4"/>
  <c r="N49" i="4"/>
  <c r="N50" i="4"/>
  <c r="B51" i="4"/>
  <c r="C51" i="4"/>
  <c r="D51" i="4"/>
  <c r="E51" i="4"/>
  <c r="F51" i="4"/>
  <c r="G51" i="4"/>
  <c r="H51" i="4"/>
  <c r="I51" i="4"/>
  <c r="J51" i="4"/>
  <c r="K51" i="4"/>
  <c r="L51" i="4"/>
  <c r="M51" i="4"/>
  <c r="N51" i="4" l="1"/>
  <c r="F52" i="4"/>
  <c r="N29" i="4"/>
  <c r="J52" i="4"/>
  <c r="E52" i="4"/>
  <c r="G52" i="4"/>
  <c r="B52" i="4"/>
  <c r="I52" i="4"/>
  <c r="M52" i="4"/>
  <c r="H52" i="4"/>
  <c r="L52" i="4"/>
  <c r="D52" i="4"/>
  <c r="K52" i="4"/>
  <c r="C52" i="4"/>
  <c r="N47" i="4"/>
  <c r="N17" i="4"/>
  <c r="B18" i="4"/>
  <c r="B53" i="4" l="1"/>
  <c r="N52" i="4"/>
  <c r="N53" i="4" s="1"/>
  <c r="N18" i="4"/>
  <c r="C6" i="4" l="1"/>
  <c r="C18" i="4" s="1"/>
  <c r="C53" i="4" s="1"/>
  <c r="D6" i="4" s="1"/>
  <c r="D18" i="4" s="1"/>
  <c r="D53" i="4" s="1"/>
  <c r="E6" i="4" l="1"/>
  <c r="E18" i="4" s="1"/>
  <c r="E53" i="4" s="1"/>
  <c r="F6" i="4" s="1"/>
  <c r="F18" i="4" s="1"/>
  <c r="F53" i="4" l="1"/>
  <c r="G6" i="4" s="1"/>
  <c r="G18" i="4" s="1"/>
  <c r="G53" i="4" s="1"/>
  <c r="H6" i="4" s="1"/>
  <c r="H18" i="4" s="1"/>
  <c r="H53" i="4" s="1"/>
  <c r="I6" i="4" l="1"/>
  <c r="I18" i="4" s="1"/>
  <c r="I53" i="4" s="1"/>
  <c r="J6" i="4" s="1"/>
  <c r="J18" i="4" s="1"/>
  <c r="J53" i="4" s="1"/>
  <c r="K6" i="4" l="1"/>
  <c r="K18" i="4" s="1"/>
  <c r="K53" i="4" s="1"/>
  <c r="L6" i="4" l="1"/>
  <c r="L18" i="4" s="1"/>
  <c r="L53" i="4" s="1"/>
  <c r="M6" i="4" s="1"/>
  <c r="M18" i="4" s="1"/>
  <c r="M53" i="4" s="1"/>
</calcChain>
</file>

<file path=xl/sharedStrings.xml><?xml version="1.0" encoding="utf-8"?>
<sst xmlns="http://schemas.openxmlformats.org/spreadsheetml/2006/main" count="81" uniqueCount="78">
  <si>
    <t xml:space="preserve">B A L A N C E </t>
  </si>
  <si>
    <t xml:space="preserve"> </t>
  </si>
  <si>
    <t xml:space="preserve">   Región                                    3</t>
  </si>
  <si>
    <t>Nombre del Establecimiento:</t>
  </si>
  <si>
    <t xml:space="preserve">   Mes de inicio</t>
  </si>
  <si>
    <t>Nombre de la Institucion:</t>
  </si>
  <si>
    <t>FUNDACION I. E. P.</t>
  </si>
  <si>
    <t xml:space="preserve">   Mes de término</t>
  </si>
  <si>
    <t>PERIODO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</si>
  <si>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</si>
  <si>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</si>
  <si>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</si>
  <si>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</si>
  <si>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</si>
  <si>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</si>
  <si>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</si>
  <si>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</si>
  <si>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</si>
  <si>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</si>
  <si>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</si>
  <si>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</si>
  <si>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</si>
  <si>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SALDO ANTERIOR</t>
  </si>
  <si>
    <t>INGRESOS</t>
  </si>
  <si>
    <t xml:space="preserve">   A)  Transferencia (Subvención)</t>
  </si>
  <si>
    <t xml:space="preserve">   B) Otros aportes SENAME</t>
  </si>
  <si>
    <t xml:space="preserve">        b1) Aguinaldos</t>
  </si>
  <si>
    <t xml:space="preserve">        b2) Bonos</t>
  </si>
  <si>
    <t xml:space="preserve">        b3) Incentivos</t>
  </si>
  <si>
    <t xml:space="preserve">   C) Ingresos distintos de Subvención</t>
  </si>
  <si>
    <t xml:space="preserve">       c1) Aportes Institucionales</t>
  </si>
  <si>
    <t xml:space="preserve">       c2) Donaciones </t>
  </si>
  <si>
    <t xml:space="preserve">       c3) Otros</t>
  </si>
  <si>
    <t>Total de Ingresos del período</t>
  </si>
  <si>
    <t>Total disponible</t>
  </si>
  <si>
    <t>EGRESOS</t>
  </si>
  <si>
    <t>GASTOS EN PERSONAL</t>
  </si>
  <si>
    <t>- Honorarios</t>
  </si>
  <si>
    <t>- Imposiciones</t>
  </si>
  <si>
    <t>- Impuesto único</t>
  </si>
  <si>
    <t>- Impuesto 2º categoría</t>
  </si>
  <si>
    <t>- Otros</t>
  </si>
  <si>
    <t>- Sueldos</t>
  </si>
  <si>
    <t>Total Gastos en Personal</t>
  </si>
  <si>
    <t>GASTOS DE OPERACIÓN</t>
  </si>
  <si>
    <t xml:space="preserve">- Alimentación </t>
  </si>
  <si>
    <t>- Capacitación</t>
  </si>
  <si>
    <t>- Combustibles y Lubricantes</t>
  </si>
  <si>
    <t>- Consumos básicos</t>
  </si>
  <si>
    <t>- Cuentas por rendir</t>
  </si>
  <si>
    <t>- Deporte y recreación</t>
  </si>
  <si>
    <t>- Educación</t>
  </si>
  <si>
    <t>- Mantenciones y reparaciones</t>
  </si>
  <si>
    <t>- Materiales de oficina</t>
  </si>
  <si>
    <t xml:space="preserve">- Materiales y útiles de aseo </t>
  </si>
  <si>
    <t>- Movilización</t>
  </si>
  <si>
    <t>- Otros gastos</t>
  </si>
  <si>
    <t>- Salud e higiene</t>
  </si>
  <si>
    <t>- Servicios generales</t>
  </si>
  <si>
    <t>- Vestuario y calzado</t>
  </si>
  <si>
    <t>Total Gastos de Operación</t>
  </si>
  <si>
    <t>GASTOS DE INVERSION</t>
  </si>
  <si>
    <t>- Equipamiento</t>
  </si>
  <si>
    <t>- Infraestructura</t>
  </si>
  <si>
    <t>Total Gastos de Inversión</t>
  </si>
  <si>
    <t>Total egresos</t>
  </si>
  <si>
    <t>TOTAL SALDO CUENTA CORRIENTE</t>
  </si>
  <si>
    <t>Firma y timbre Director (a) establecimiento</t>
  </si>
  <si>
    <t>- Indemnización</t>
  </si>
  <si>
    <t>- Aguinaldos y bonos</t>
  </si>
  <si>
    <t>- Traspasos</t>
  </si>
  <si>
    <t>P. I. E. ALINE 24 HORAS</t>
  </si>
  <si>
    <t xml:space="preserve">   Código del Establec.        1030350</t>
  </si>
  <si>
    <t>Firma y Timbre Director Ejecutivo</t>
  </si>
  <si>
    <t>Enero</t>
  </si>
  <si>
    <t>AÑO 2025</t>
  </si>
  <si>
    <t>Enero -diciembre año 2025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</si>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</sst>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/>
    <xf numFmtId="0" fontId="1" fillId="0" borderId="3" xfId="0" quotePrefix="1" applyFont="1" applyBorder="1"/>
    <xf numFmtId="0" fontId="2" fillId="0" borderId="0" xfId="0" applyFont="1"/>
    <xf numFmtId="0" fontId="1" fillId="0" borderId="4" xfId="0" quotePrefix="1" applyFont="1" applyBorder="1"/>
    <xf numFmtId="0" fontId="1" fillId="0" borderId="5" xfId="0" quotePrefix="1" applyFont="1" applyBorder="1"/>
    <xf numFmtId="0" fontId="1" fillId="0" borderId="0" xfId="0" applyFont="1"/>
    <xf numFmtId="0" fontId="3" fillId="0" borderId="0" xfId="0" applyFont="1" applyAlignment="1">
      <alignment horizontal="center"/>
    </xf>
    <xf numFmtId="3" fontId="1" fillId="0" borderId="6" xfId="0" applyNumberFormat="1" applyFont="1" applyBorder="1"/>
    <xf numFmtId="3" fontId="1" fillId="0" borderId="7" xfId="0" applyNumberFormat="1" applyFont="1" applyBorder="1"/>
    <xf numFmtId="3" fontId="1" fillId="0" borderId="8" xfId="0" applyNumberFormat="1" applyFont="1" applyBorder="1"/>
    <xf numFmtId="0" fontId="1" fillId="0" borderId="2" xfId="0" applyFont="1" applyBorder="1"/>
    <xf numFmtId="3" fontId="1" fillId="0" borderId="2" xfId="0" applyNumberFormat="1" applyFont="1" applyBorder="1" applyAlignment="1">
      <alignment horizontal="right"/>
    </xf>
    <xf numFmtId="3" fontId="1" fillId="0" borderId="0" xfId="0" applyNumberFormat="1" applyFont="1"/>
    <xf numFmtId="0" fontId="1" fillId="0" borderId="3" xfId="0" applyFont="1" applyBorder="1"/>
    <xf numFmtId="3" fontId="1" fillId="0" borderId="3" xfId="0" applyNumberFormat="1" applyFont="1" applyBorder="1"/>
    <xf numFmtId="0" fontId="1" fillId="0" borderId="9" xfId="0" applyFont="1" applyBorder="1"/>
    <xf numFmtId="3" fontId="1" fillId="0" borderId="9" xfId="0" applyNumberFormat="1" applyFont="1" applyBorder="1"/>
    <xf numFmtId="3" fontId="1" fillId="0" borderId="2" xfId="0" applyNumberFormat="1" applyFont="1" applyBorder="1"/>
    <xf numFmtId="3" fontId="2" fillId="0" borderId="0" xfId="0" applyNumberFormat="1" applyFont="1"/>
    <xf numFmtId="0" fontId="1" fillId="0" borderId="2" xfId="0" quotePrefix="1" applyFont="1" applyBorder="1"/>
    <xf numFmtId="0" fontId="1" fillId="0" borderId="9" xfId="0" quotePrefix="1" applyFont="1" applyBorder="1"/>
    <xf numFmtId="0" fontId="1" fillId="0" borderId="0" xfId="0" quotePrefix="1" applyFont="1"/>
    <xf numFmtId="0" fontId="1" fillId="0" borderId="10" xfId="0" applyFont="1" applyBorder="1"/>
    <xf numFmtId="0" fontId="1" fillId="2" borderId="0" xfId="0" applyFont="1" applyFill="1" applyAlignment="1">
      <alignment horizontal="left"/>
    </xf>
    <xf numFmtId="3" fontId="1" fillId="2" borderId="1" xfId="0" applyNumberFormat="1" applyFont="1" applyFill="1" applyBorder="1"/>
    <xf numFmtId="3" fontId="2" fillId="2" borderId="1" xfId="0" applyNumberFormat="1" applyFont="1" applyFill="1" applyBorder="1"/>
    <xf numFmtId="3" fontId="1" fillId="2" borderId="6" xfId="0" applyNumberFormat="1" applyFont="1" applyFill="1" applyBorder="1"/>
    <xf numFmtId="3" fontId="2" fillId="2" borderId="6" xfId="0" applyNumberFormat="1" applyFont="1" applyFill="1" applyBorder="1"/>
    <xf numFmtId="3" fontId="1" fillId="2" borderId="2" xfId="0" applyNumberFormat="1" applyFont="1" applyFill="1" applyBorder="1"/>
    <xf numFmtId="3" fontId="2" fillId="2" borderId="2" xfId="0" applyNumberFormat="1" applyFont="1" applyFill="1" applyBorder="1" applyAlignment="1">
      <alignment horizontal="right"/>
    </xf>
    <xf numFmtId="3" fontId="2" fillId="2" borderId="3" xfId="0" applyNumberFormat="1" applyFont="1" applyFill="1" applyBorder="1"/>
    <xf numFmtId="3" fontId="2" fillId="2" borderId="2" xfId="0" applyNumberFormat="1" applyFont="1" applyFill="1" applyBorder="1"/>
    <xf numFmtId="3" fontId="2" fillId="2" borderId="9" xfId="0" applyNumberFormat="1" applyFont="1" applyFill="1" applyBorder="1"/>
    <xf numFmtId="3" fontId="1" fillId="0" borderId="11" xfId="0" applyNumberFormat="1" applyFont="1" applyBorder="1"/>
    <xf numFmtId="3" fontId="0" fillId="0" borderId="0" xfId="0" applyNumberForma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02/Downloads/P.I.E.%20ALINE%20-%20JUNI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02/Downloads/P.I.E.%20ALINE%20-%20JULIO%202025-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02/Downloads/P.I.E.%20ALINE%20-%20AGOSTO%20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02/Downloads/P.I.E.%20ALINE%20-%20SEPTIEMBRE%20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02/Downloads/P.I.E.%20ALINE%20-%20octubre%202025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02/Downloads/P.I.E.%20ALINE%20-%20NOVIEMBRE%202025%20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02/Downloads/P.I.E.%20ALINE%20-%20DICIEMBRE%202025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ON"/>
      <sheetName val="INGRESOS"/>
      <sheetName val="REINT"/>
      <sheetName val="BANCO"/>
      <sheetName val="EGRESOS"/>
      <sheetName val="CONCI"/>
      <sheetName val="INDEMINZ"/>
      <sheetName val="BIENES"/>
      <sheetName val="C.I."/>
      <sheetName val="COMP.ING SUBV"/>
      <sheetName val="C.R"/>
    </sheetNames>
    <sheetDataSet>
      <sheetData sheetId="0" refreshError="1"/>
      <sheetData sheetId="1">
        <row r="12">
          <cell r="E12">
            <v>23323976</v>
          </cell>
        </row>
      </sheetData>
      <sheetData sheetId="2" refreshError="1"/>
      <sheetData sheetId="3" refreshError="1"/>
      <sheetData sheetId="4">
        <row r="11">
          <cell r="H11">
            <v>37384</v>
          </cell>
        </row>
        <row r="14">
          <cell r="H14">
            <v>26400</v>
          </cell>
        </row>
        <row r="18">
          <cell r="H18">
            <v>65669</v>
          </cell>
        </row>
        <row r="20">
          <cell r="H20">
            <v>358416</v>
          </cell>
        </row>
        <row r="21">
          <cell r="H21">
            <v>4516781</v>
          </cell>
        </row>
        <row r="22">
          <cell r="H22">
            <v>200000</v>
          </cell>
        </row>
        <row r="23">
          <cell r="H23">
            <v>30000</v>
          </cell>
        </row>
        <row r="24">
          <cell r="H24">
            <v>100000</v>
          </cell>
        </row>
        <row r="25">
          <cell r="H25">
            <v>200000</v>
          </cell>
        </row>
        <row r="26">
          <cell r="H26">
            <v>250000</v>
          </cell>
        </row>
        <row r="27">
          <cell r="H27">
            <v>50000</v>
          </cell>
        </row>
        <row r="28">
          <cell r="H28">
            <v>200000</v>
          </cell>
        </row>
        <row r="29">
          <cell r="H29">
            <v>100000</v>
          </cell>
        </row>
        <row r="30">
          <cell r="H30">
            <v>200000</v>
          </cell>
        </row>
        <row r="44">
          <cell r="H44">
            <v>10434947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ON"/>
      <sheetName val="INGRESOS"/>
      <sheetName val="REINT"/>
      <sheetName val="BANCO"/>
      <sheetName val="EGRESOS"/>
      <sheetName val="CONCI"/>
      <sheetName val="INDEMINZ"/>
      <sheetName val="BIENES"/>
      <sheetName val="C.I."/>
      <sheetName val="COMP.ING SUBV"/>
      <sheetName val="C.R"/>
    </sheetNames>
    <sheetDataSet>
      <sheetData sheetId="0" refreshError="1"/>
      <sheetData sheetId="1">
        <row r="12">
          <cell r="E12">
            <v>24766696</v>
          </cell>
        </row>
      </sheetData>
      <sheetData sheetId="2" refreshError="1"/>
      <sheetData sheetId="3" refreshError="1"/>
      <sheetData sheetId="4">
        <row r="13">
          <cell r="H13">
            <v>37493</v>
          </cell>
        </row>
        <row r="16">
          <cell r="H16">
            <v>26400</v>
          </cell>
        </row>
        <row r="17">
          <cell r="H17">
            <v>71481</v>
          </cell>
        </row>
        <row r="18">
          <cell r="H18">
            <v>4736938</v>
          </cell>
        </row>
        <row r="21">
          <cell r="H21">
            <v>200000</v>
          </cell>
        </row>
        <row r="22">
          <cell r="H22">
            <v>250000</v>
          </cell>
        </row>
        <row r="23">
          <cell r="H23">
            <v>50000</v>
          </cell>
        </row>
        <row r="24">
          <cell r="H24">
            <v>100000</v>
          </cell>
        </row>
        <row r="43">
          <cell r="H43">
            <v>50000</v>
          </cell>
        </row>
        <row r="48">
          <cell r="H48">
            <v>11195879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ON"/>
      <sheetName val="INGRESOS"/>
      <sheetName val="REINT"/>
      <sheetName val="BANCO"/>
      <sheetName val="EGRESOS"/>
      <sheetName val="CONCI"/>
      <sheetName val="INDEMINZ"/>
      <sheetName val="BIENES"/>
      <sheetName val="C.I."/>
      <sheetName val="COMP.ING SUBV"/>
      <sheetName val="C.R"/>
    </sheetNames>
    <sheetDataSet>
      <sheetData sheetId="0" refreshError="1"/>
      <sheetData sheetId="1">
        <row r="12">
          <cell r="E12">
            <v>25968963</v>
          </cell>
        </row>
      </sheetData>
      <sheetData sheetId="2" refreshError="1"/>
      <sheetData sheetId="3" refreshError="1"/>
      <sheetData sheetId="4">
        <row r="10">
          <cell r="H10">
            <v>1585078</v>
          </cell>
        </row>
        <row r="18">
          <cell r="H18">
            <v>26400</v>
          </cell>
        </row>
        <row r="19">
          <cell r="H19">
            <v>37567</v>
          </cell>
        </row>
        <row r="20">
          <cell r="H20">
            <v>70199</v>
          </cell>
        </row>
        <row r="33">
          <cell r="H33">
            <v>200000</v>
          </cell>
        </row>
        <row r="34">
          <cell r="H34">
            <v>100000</v>
          </cell>
        </row>
        <row r="35">
          <cell r="H35">
            <v>220000</v>
          </cell>
        </row>
        <row r="36">
          <cell r="H36">
            <v>50000</v>
          </cell>
        </row>
        <row r="37">
          <cell r="H37">
            <v>70000</v>
          </cell>
        </row>
        <row r="38">
          <cell r="H38">
            <v>250000</v>
          </cell>
        </row>
        <row r="39">
          <cell r="H39">
            <v>200000</v>
          </cell>
        </row>
        <row r="40">
          <cell r="H40">
            <v>50000</v>
          </cell>
        </row>
        <row r="41">
          <cell r="H41">
            <v>4665695</v>
          </cell>
        </row>
        <row r="42">
          <cell r="H42">
            <v>150000</v>
          </cell>
        </row>
        <row r="63">
          <cell r="H63">
            <v>10572690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ON"/>
      <sheetName val="INGRESOS"/>
      <sheetName val="REINT"/>
      <sheetName val="BANCO"/>
      <sheetName val="EGRESOS"/>
      <sheetName val="CONCI"/>
      <sheetName val="INDEMINZ"/>
      <sheetName val="BIENES"/>
      <sheetName val="C.I."/>
      <sheetName val="COMP.ING SUBV"/>
      <sheetName val="C.R"/>
    </sheetNames>
    <sheetDataSet>
      <sheetData sheetId="0" refreshError="1"/>
      <sheetData sheetId="1">
        <row r="12">
          <cell r="E12">
            <v>27411683</v>
          </cell>
        </row>
      </sheetData>
      <sheetData sheetId="2" refreshError="1"/>
      <sheetData sheetId="3" refreshError="1"/>
      <sheetData sheetId="4">
        <row r="9">
          <cell r="H9">
            <v>37300</v>
          </cell>
        </row>
        <row r="10">
          <cell r="H10">
            <v>274600</v>
          </cell>
        </row>
        <row r="11">
          <cell r="H11">
            <v>112890</v>
          </cell>
        </row>
        <row r="12">
          <cell r="H12">
            <v>7355</v>
          </cell>
        </row>
        <row r="13">
          <cell r="H13">
            <v>37482</v>
          </cell>
        </row>
        <row r="14">
          <cell r="H14">
            <v>26400</v>
          </cell>
        </row>
        <row r="15">
          <cell r="H15">
            <v>261800</v>
          </cell>
        </row>
        <row r="16">
          <cell r="H16">
            <v>51780</v>
          </cell>
        </row>
        <row r="17">
          <cell r="H17">
            <v>71343</v>
          </cell>
        </row>
        <row r="18">
          <cell r="H18">
            <v>5936</v>
          </cell>
        </row>
        <row r="20">
          <cell r="H20">
            <v>4780504</v>
          </cell>
        </row>
        <row r="21">
          <cell r="H21">
            <v>46932</v>
          </cell>
        </row>
        <row r="22">
          <cell r="H22">
            <v>21040</v>
          </cell>
        </row>
        <row r="23">
          <cell r="H23">
            <v>151601</v>
          </cell>
        </row>
        <row r="24">
          <cell r="H24">
            <v>220979</v>
          </cell>
        </row>
        <row r="25">
          <cell r="H25">
            <v>127962</v>
          </cell>
        </row>
        <row r="26">
          <cell r="H26">
            <v>155609</v>
          </cell>
        </row>
        <row r="27">
          <cell r="H27">
            <v>254200</v>
          </cell>
        </row>
        <row r="28">
          <cell r="H28">
            <v>56020</v>
          </cell>
        </row>
        <row r="29">
          <cell r="H29">
            <v>50000</v>
          </cell>
        </row>
        <row r="30">
          <cell r="H30">
            <v>50000</v>
          </cell>
        </row>
        <row r="31">
          <cell r="H31">
            <v>100000</v>
          </cell>
        </row>
        <row r="32">
          <cell r="H32">
            <v>250000</v>
          </cell>
        </row>
        <row r="33">
          <cell r="H33">
            <v>100000</v>
          </cell>
        </row>
        <row r="34">
          <cell r="H34">
            <v>100000</v>
          </cell>
        </row>
        <row r="35">
          <cell r="H35">
            <v>100000</v>
          </cell>
        </row>
        <row r="36">
          <cell r="H36">
            <v>70000</v>
          </cell>
        </row>
        <row r="37">
          <cell r="H37">
            <v>1803400</v>
          </cell>
        </row>
        <row r="38">
          <cell r="H38">
            <v>55928</v>
          </cell>
        </row>
        <row r="39">
          <cell r="H39">
            <v>231300</v>
          </cell>
        </row>
        <row r="40">
          <cell r="H40">
            <v>76292</v>
          </cell>
        </row>
        <row r="41">
          <cell r="H41">
            <v>228200</v>
          </cell>
        </row>
        <row r="42">
          <cell r="H42">
            <v>91000</v>
          </cell>
        </row>
        <row r="44">
          <cell r="H44">
            <v>35000</v>
          </cell>
        </row>
        <row r="45">
          <cell r="H45">
            <v>327067</v>
          </cell>
        </row>
        <row r="46">
          <cell r="H46">
            <v>937768</v>
          </cell>
        </row>
        <row r="48">
          <cell r="H48">
            <v>10870035</v>
          </cell>
        </row>
        <row r="50">
          <cell r="H50">
            <v>380562</v>
          </cell>
        </row>
        <row r="51">
          <cell r="H51">
            <v>155152</v>
          </cell>
        </row>
        <row r="52">
          <cell r="H52">
            <v>231400</v>
          </cell>
        </row>
        <row r="53">
          <cell r="H53">
            <v>64840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ON"/>
      <sheetName val="INGRESOS"/>
      <sheetName val="REINT"/>
      <sheetName val="BANCO"/>
      <sheetName val="EGRESOS"/>
      <sheetName val="CONCI"/>
      <sheetName val="INDEMINZ"/>
      <sheetName val="BIENES"/>
      <sheetName val="C.I."/>
      <sheetName val="COMP.ING SUBV"/>
      <sheetName val="C.R"/>
    </sheetNames>
    <sheetDataSet>
      <sheetData sheetId="0" refreshError="1"/>
      <sheetData sheetId="1">
        <row r="12">
          <cell r="E12">
            <v>26449870</v>
          </cell>
        </row>
      </sheetData>
      <sheetData sheetId="2" refreshError="1"/>
      <sheetData sheetId="3" refreshError="1"/>
      <sheetData sheetId="4">
        <row r="9">
          <cell r="H9">
            <v>34000</v>
          </cell>
        </row>
        <row r="10">
          <cell r="H10">
            <v>7355</v>
          </cell>
        </row>
        <row r="11">
          <cell r="H11">
            <v>37678</v>
          </cell>
        </row>
        <row r="12">
          <cell r="H12">
            <v>26400</v>
          </cell>
        </row>
        <row r="13">
          <cell r="H13">
            <v>68553</v>
          </cell>
        </row>
        <row r="15">
          <cell r="H15">
            <v>4734849</v>
          </cell>
        </row>
        <row r="18">
          <cell r="H18">
            <v>70000</v>
          </cell>
        </row>
        <row r="19">
          <cell r="H19">
            <v>150000</v>
          </cell>
        </row>
        <row r="20">
          <cell r="H20">
            <v>50000</v>
          </cell>
        </row>
        <row r="21">
          <cell r="H21">
            <v>150000</v>
          </cell>
        </row>
        <row r="22">
          <cell r="H22">
            <v>200000</v>
          </cell>
        </row>
        <row r="23">
          <cell r="H23">
            <v>200000</v>
          </cell>
        </row>
        <row r="24">
          <cell r="H24">
            <v>200000</v>
          </cell>
        </row>
        <row r="25">
          <cell r="H25">
            <v>50000</v>
          </cell>
        </row>
        <row r="26">
          <cell r="H26">
            <v>100000</v>
          </cell>
        </row>
        <row r="27">
          <cell r="H27">
            <v>270800</v>
          </cell>
        </row>
        <row r="28">
          <cell r="H28">
            <v>45580</v>
          </cell>
        </row>
        <row r="31">
          <cell r="H31">
            <v>75300</v>
          </cell>
        </row>
        <row r="32">
          <cell r="H32">
            <v>33440</v>
          </cell>
        </row>
        <row r="33">
          <cell r="H33">
            <v>85911</v>
          </cell>
        </row>
        <row r="34">
          <cell r="H34">
            <v>254611</v>
          </cell>
        </row>
        <row r="35">
          <cell r="H35">
            <v>45049</v>
          </cell>
        </row>
        <row r="36">
          <cell r="H36">
            <v>180208</v>
          </cell>
        </row>
        <row r="37">
          <cell r="H37">
            <v>228800</v>
          </cell>
        </row>
        <row r="38">
          <cell r="H38">
            <v>112520</v>
          </cell>
        </row>
        <row r="39">
          <cell r="H39">
            <v>1803400</v>
          </cell>
        </row>
        <row r="41">
          <cell r="H41">
            <v>112300</v>
          </cell>
        </row>
        <row r="42">
          <cell r="H42">
            <v>76292</v>
          </cell>
        </row>
        <row r="46">
          <cell r="H46">
            <v>306600</v>
          </cell>
        </row>
        <row r="47">
          <cell r="H47">
            <v>43300</v>
          </cell>
        </row>
        <row r="48">
          <cell r="H48">
            <v>9822284</v>
          </cell>
        </row>
        <row r="51">
          <cell r="H51">
            <v>61980</v>
          </cell>
        </row>
        <row r="53">
          <cell r="H53">
            <v>841586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ON"/>
      <sheetName val="INGRESOS"/>
      <sheetName val="REINT"/>
      <sheetName val="BANCO"/>
      <sheetName val="EGRESOS"/>
      <sheetName val="CONCI"/>
      <sheetName val="INDEMINZ"/>
      <sheetName val="BIENES"/>
      <sheetName val="C.I."/>
      <sheetName val="COMP.ING SUBV"/>
      <sheetName val="C.R"/>
    </sheetNames>
    <sheetDataSet>
      <sheetData sheetId="0" refreshError="1"/>
      <sheetData sheetId="1">
        <row r="10">
          <cell r="E10">
            <v>18034002</v>
          </cell>
        </row>
        <row r="11">
          <cell r="E11">
            <v>12984481</v>
          </cell>
        </row>
        <row r="12">
          <cell r="E12">
            <v>1447960</v>
          </cell>
        </row>
      </sheetData>
      <sheetData sheetId="2" refreshError="1"/>
      <sheetData sheetId="3" refreshError="1"/>
      <sheetData sheetId="4">
        <row r="9">
          <cell r="H9">
            <v>7459</v>
          </cell>
        </row>
        <row r="10">
          <cell r="H10">
            <v>59500</v>
          </cell>
        </row>
        <row r="11">
          <cell r="H11">
            <v>37776</v>
          </cell>
        </row>
        <row r="12">
          <cell r="H12">
            <v>26400</v>
          </cell>
        </row>
        <row r="13">
          <cell r="H13">
            <v>2086796</v>
          </cell>
        </row>
        <row r="14">
          <cell r="H14">
            <v>93783</v>
          </cell>
        </row>
        <row r="15">
          <cell r="H15">
            <v>34200</v>
          </cell>
        </row>
        <row r="16">
          <cell r="H16">
            <v>249200</v>
          </cell>
        </row>
        <row r="17">
          <cell r="H17">
            <v>53090</v>
          </cell>
        </row>
        <row r="18">
          <cell r="H18">
            <v>1043000</v>
          </cell>
        </row>
        <row r="19">
          <cell r="H19">
            <v>79280</v>
          </cell>
        </row>
        <row r="20">
          <cell r="H20">
            <v>266922</v>
          </cell>
        </row>
        <row r="21">
          <cell r="H21">
            <v>126217</v>
          </cell>
        </row>
        <row r="22">
          <cell r="H22">
            <v>166400</v>
          </cell>
        </row>
        <row r="23">
          <cell r="H23">
            <v>92050</v>
          </cell>
        </row>
        <row r="24">
          <cell r="H24">
            <v>68559</v>
          </cell>
        </row>
        <row r="25">
          <cell r="H25">
            <v>12719</v>
          </cell>
        </row>
        <row r="26">
          <cell r="H26">
            <v>4495313</v>
          </cell>
        </row>
        <row r="27">
          <cell r="H27">
            <v>250000</v>
          </cell>
        </row>
        <row r="28">
          <cell r="H28">
            <v>150000</v>
          </cell>
        </row>
        <row r="29">
          <cell r="H29">
            <v>200000</v>
          </cell>
        </row>
        <row r="30">
          <cell r="H30">
            <v>330000</v>
          </cell>
        </row>
        <row r="31">
          <cell r="H31">
            <v>200000</v>
          </cell>
        </row>
        <row r="32">
          <cell r="H32">
            <v>100000</v>
          </cell>
        </row>
        <row r="33">
          <cell r="H33">
            <v>100000</v>
          </cell>
        </row>
        <row r="34">
          <cell r="H34">
            <v>70000</v>
          </cell>
        </row>
        <row r="36">
          <cell r="H36">
            <v>60000</v>
          </cell>
        </row>
        <row r="37">
          <cell r="H37">
            <v>214400</v>
          </cell>
        </row>
        <row r="38">
          <cell r="H38">
            <v>161430</v>
          </cell>
        </row>
        <row r="39">
          <cell r="H39">
            <v>1803400</v>
          </cell>
        </row>
        <row r="40">
          <cell r="H40">
            <v>53550</v>
          </cell>
        </row>
        <row r="42">
          <cell r="H42">
            <v>57600</v>
          </cell>
        </row>
        <row r="43">
          <cell r="H43">
            <v>76292</v>
          </cell>
        </row>
        <row r="44">
          <cell r="H44">
            <v>56223</v>
          </cell>
        </row>
        <row r="45">
          <cell r="H45">
            <v>311000</v>
          </cell>
        </row>
        <row r="46">
          <cell r="H46">
            <v>35970</v>
          </cell>
        </row>
        <row r="47">
          <cell r="H47">
            <v>33351</v>
          </cell>
        </row>
        <row r="48">
          <cell r="H48">
            <v>33351</v>
          </cell>
        </row>
        <row r="49">
          <cell r="H49">
            <v>56661</v>
          </cell>
        </row>
        <row r="50">
          <cell r="H50">
            <v>236929</v>
          </cell>
        </row>
        <row r="51">
          <cell r="H51">
            <v>116501</v>
          </cell>
        </row>
        <row r="52">
          <cell r="H52">
            <v>297130</v>
          </cell>
        </row>
        <row r="53">
          <cell r="H53">
            <v>48290</v>
          </cell>
        </row>
        <row r="54">
          <cell r="H54">
            <v>1298448</v>
          </cell>
        </row>
        <row r="55">
          <cell r="H55">
            <v>14369841</v>
          </cell>
        </row>
        <row r="56">
          <cell r="H56">
            <v>1447960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ICION"/>
      <sheetName val="INGRESOS"/>
      <sheetName val="REINT"/>
      <sheetName val="BANCO"/>
      <sheetName val="EGRESOS"/>
      <sheetName val="CONCI"/>
      <sheetName val="INDEMINZ"/>
      <sheetName val="BIENES"/>
      <sheetName val="C.I."/>
      <sheetName val="COMP.ING SUBV"/>
      <sheetName val="C.R"/>
    </sheetNames>
    <sheetDataSet>
      <sheetData sheetId="0"/>
      <sheetData sheetId="1">
        <row r="12">
          <cell r="E12">
            <v>30778030</v>
          </cell>
        </row>
      </sheetData>
      <sheetData sheetId="2"/>
      <sheetData sheetId="3"/>
      <sheetData sheetId="4">
        <row r="9">
          <cell r="H9">
            <v>7459</v>
          </cell>
        </row>
        <row r="10">
          <cell r="H10">
            <v>232800</v>
          </cell>
        </row>
        <row r="11">
          <cell r="H11">
            <v>114530</v>
          </cell>
        </row>
        <row r="12">
          <cell r="H12">
            <v>2086796</v>
          </cell>
        </row>
        <row r="13">
          <cell r="H13">
            <v>93880</v>
          </cell>
        </row>
        <row r="14">
          <cell r="H14">
            <v>26400</v>
          </cell>
        </row>
        <row r="15">
          <cell r="H15">
            <v>37883</v>
          </cell>
        </row>
        <row r="16">
          <cell r="H16">
            <v>240975</v>
          </cell>
        </row>
        <row r="17">
          <cell r="H17">
            <v>236550</v>
          </cell>
        </row>
        <row r="18">
          <cell r="H18">
            <v>399200</v>
          </cell>
        </row>
        <row r="19">
          <cell r="H19">
            <v>519999</v>
          </cell>
        </row>
        <row r="20">
          <cell r="H20">
            <v>219200</v>
          </cell>
        </row>
        <row r="21">
          <cell r="H21">
            <v>149450</v>
          </cell>
        </row>
        <row r="22">
          <cell r="H22">
            <v>102720</v>
          </cell>
        </row>
        <row r="23">
          <cell r="H23">
            <v>41960</v>
          </cell>
        </row>
        <row r="24">
          <cell r="H24">
            <v>48090</v>
          </cell>
        </row>
        <row r="25">
          <cell r="H25">
            <v>34680</v>
          </cell>
        </row>
        <row r="26">
          <cell r="H26">
            <v>34090</v>
          </cell>
        </row>
        <row r="27">
          <cell r="H27">
            <v>11040</v>
          </cell>
        </row>
        <row r="28">
          <cell r="H28">
            <v>57470</v>
          </cell>
        </row>
        <row r="30">
          <cell r="H30">
            <v>83389</v>
          </cell>
        </row>
        <row r="31">
          <cell r="H31">
            <v>47200</v>
          </cell>
        </row>
        <row r="32">
          <cell r="H32">
            <v>5824230</v>
          </cell>
        </row>
        <row r="33">
          <cell r="H33">
            <v>31350</v>
          </cell>
        </row>
        <row r="34">
          <cell r="H34">
            <v>56281</v>
          </cell>
        </row>
        <row r="35">
          <cell r="H35">
            <v>76292</v>
          </cell>
        </row>
        <row r="36">
          <cell r="H36">
            <v>48650</v>
          </cell>
        </row>
        <row r="37">
          <cell r="H37">
            <v>100000</v>
          </cell>
        </row>
        <row r="38">
          <cell r="H38">
            <v>150000</v>
          </cell>
        </row>
        <row r="39">
          <cell r="H39">
            <v>150000</v>
          </cell>
        </row>
        <row r="40">
          <cell r="H40">
            <v>250000</v>
          </cell>
        </row>
        <row r="41">
          <cell r="H41">
            <v>500000</v>
          </cell>
        </row>
        <row r="42">
          <cell r="H42">
            <v>300000</v>
          </cell>
        </row>
        <row r="43">
          <cell r="H43">
            <v>300000</v>
          </cell>
        </row>
        <row r="44">
          <cell r="H44">
            <v>100000</v>
          </cell>
        </row>
        <row r="45">
          <cell r="H45">
            <v>200000</v>
          </cell>
        </row>
        <row r="46">
          <cell r="H46">
            <v>200000</v>
          </cell>
        </row>
        <row r="47">
          <cell r="H47">
            <v>65000</v>
          </cell>
        </row>
        <row r="48">
          <cell r="H48">
            <v>103280</v>
          </cell>
        </row>
        <row r="49">
          <cell r="H49">
            <v>310291</v>
          </cell>
        </row>
        <row r="50">
          <cell r="H50">
            <v>188539</v>
          </cell>
        </row>
        <row r="51">
          <cell r="H51">
            <v>232632</v>
          </cell>
        </row>
        <row r="52">
          <cell r="H52">
            <v>660000</v>
          </cell>
        </row>
        <row r="53">
          <cell r="H53">
            <v>330800</v>
          </cell>
        </row>
        <row r="54">
          <cell r="H54">
            <v>53660</v>
          </cell>
        </row>
        <row r="55">
          <cell r="H55">
            <v>166600</v>
          </cell>
        </row>
        <row r="56">
          <cell r="H56">
            <v>1803400</v>
          </cell>
        </row>
        <row r="57">
          <cell r="H57">
            <v>136000</v>
          </cell>
        </row>
        <row r="58">
          <cell r="H58">
            <v>37500</v>
          </cell>
        </row>
        <row r="59">
          <cell r="H59">
            <v>114900</v>
          </cell>
        </row>
        <row r="61">
          <cell r="H61">
            <v>242440</v>
          </cell>
        </row>
        <row r="62">
          <cell r="H62">
            <v>98980</v>
          </cell>
        </row>
        <row r="63">
          <cell r="H63">
            <v>60000</v>
          </cell>
        </row>
        <row r="64">
          <cell r="H64">
            <v>140000</v>
          </cell>
        </row>
        <row r="65">
          <cell r="H65">
            <v>67400</v>
          </cell>
        </row>
        <row r="67">
          <cell r="H67">
            <v>58000</v>
          </cell>
        </row>
        <row r="68">
          <cell r="H68">
            <v>20760</v>
          </cell>
        </row>
        <row r="69">
          <cell r="H69">
            <v>225400</v>
          </cell>
        </row>
        <row r="70">
          <cell r="H70">
            <v>90030</v>
          </cell>
        </row>
        <row r="71">
          <cell r="H71">
            <v>1274402</v>
          </cell>
        </row>
        <row r="72">
          <cell r="H72">
            <v>14000351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2"/>
  <sheetViews>
    <sheetView tabSelected="1" topLeftCell="A25" zoomScale="110" zoomScaleNormal="110" workbookViewId="0">
      <selection activeCell="B64" sqref="B64"/>
    </sheetView>
  </sheetViews>
  <sheetFormatPr baseColWidth="10" defaultRowHeight="12.75" x14ac:dyDescent="0.2"/>
  <cols>
    <col min="1" max="1" width="27.5703125" customWidth="1"/>
    <col min="2" max="5" width="8.7109375" customWidth="1"/>
    <col min="6" max="6" width="9.85546875" customWidth="1"/>
    <col min="7" max="7" width="10" customWidth="1"/>
    <col min="8" max="8" width="10.42578125" customWidth="1"/>
    <col min="9" max="9" width="9.42578125" customWidth="1"/>
    <col min="10" max="10" width="10.7109375" customWidth="1"/>
    <col min="11" max="11" width="9.7109375" customWidth="1"/>
    <col min="12" max="12" width="10.7109375" customWidth="1"/>
    <col min="13" max="13" width="10.42578125" customWidth="1"/>
    <col min="14" max="14" width="9.5703125" customWidth="1"/>
  </cols>
  <sheetData>
    <row r="1" spans="1:18" s="8" customFormat="1" ht="11.25" x14ac:dyDescent="0.2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18" s="8" customFormat="1" ht="11.25" customHeight="1" x14ac:dyDescent="0.2">
      <c r="A2" s="9" t="s">
        <v>1</v>
      </c>
    </row>
    <row r="3" spans="1:18" s="8" customFormat="1" ht="12.75" customHeight="1" x14ac:dyDescent="0.2">
      <c r="A3" s="8" t="s">
        <v>2</v>
      </c>
      <c r="B3" s="39" t="s">
        <v>3</v>
      </c>
      <c r="C3" s="39"/>
      <c r="D3" s="39"/>
      <c r="E3" s="40" t="s">
        <v>71</v>
      </c>
      <c r="F3" s="40"/>
      <c r="G3" s="40"/>
      <c r="H3" s="40"/>
      <c r="I3" s="39" t="s">
        <v>4</v>
      </c>
      <c r="J3" s="39"/>
      <c r="K3" s="39" t="s">
        <v>74</v>
      </c>
      <c r="L3" s="39"/>
      <c r="M3" s="41" t="s">
        <v>75</v>
      </c>
      <c r="N3" s="41"/>
    </row>
    <row r="4" spans="1:18" s="8" customFormat="1" ht="11.25" x14ac:dyDescent="0.2">
      <c r="A4" s="26" t="s">
        <v>72</v>
      </c>
      <c r="B4" s="39" t="s">
        <v>5</v>
      </c>
      <c r="C4" s="39"/>
      <c r="D4" s="39"/>
      <c r="E4" s="38" t="s">
        <v>6</v>
      </c>
      <c r="F4" s="38"/>
      <c r="G4" s="38"/>
      <c r="H4" s="38"/>
      <c r="I4" s="43" t="s">
        <v>7</v>
      </c>
      <c r="J4" s="43"/>
      <c r="K4" s="43" t="s">
        <v>77</v>
      </c>
      <c r="L4" s="43"/>
      <c r="M4" s="42"/>
      <c r="N4" s="42"/>
    </row>
    <row r="5" spans="1:18" s="8" customFormat="1" ht="11.25" x14ac:dyDescent="0.2">
      <c r="A5" s="2" t="s">
        <v>8</v>
      </c>
      <c r="B5" s="1" t="s">
        <v>9</v>
      </c>
      <c r="C5" s="1" t="s">
        <v>10</v>
      </c>
      <c r="D5" s="1" t="s">
        <v>11</v>
      </c>
      <c r="E5" s="1" t="s">
        <v>12</v>
      </c>
      <c r="F5" s="1" t="s">
        <v>13</v>
      </c>
      <c r="G5" s="1" t="s">
        <v>14</v>
      </c>
      <c r="H5" s="1" t="s">
        <v>15</v>
      </c>
      <c r="I5" s="1" t="s">
        <v>16</v>
      </c>
      <c r="J5" s="1" t="s">
        <v>17</v>
      </c>
      <c r="K5" s="1" t="s">
        <v>18</v>
      </c>
      <c r="L5" s="1" t="s">
        <v>19</v>
      </c>
      <c r="M5" s="1" t="s">
        <v>20</v>
      </c>
      <c r="N5" s="1" t="s">
        <v>21</v>
      </c>
    </row>
    <row r="6" spans="1:18" s="8" customFormat="1" ht="11.25" x14ac:dyDescent="0.2">
      <c r="A6" s="5" t="s">
        <v>22</v>
      </c>
      <c r="B6" s="28">
        <v>45377190</v>
      </c>
      <c r="C6" s="28">
        <f t="shared" ref="C6:M6" si="0">B53+C7</f>
        <v>42916060</v>
      </c>
      <c r="D6" s="28">
        <f t="shared" si="0"/>
        <v>40443168</v>
      </c>
      <c r="E6" s="28">
        <f t="shared" si="0"/>
        <v>42136359</v>
      </c>
      <c r="F6" s="28">
        <f t="shared" si="0"/>
        <v>42322844</v>
      </c>
      <c r="G6" s="28">
        <f t="shared" si="0"/>
        <v>43402965</v>
      </c>
      <c r="H6" s="28">
        <f t="shared" si="0"/>
        <v>44692226</v>
      </c>
      <c r="I6" s="28">
        <f t="shared" si="0"/>
        <v>46210403</v>
      </c>
      <c r="J6" s="28">
        <f t="shared" si="0"/>
        <v>47465691</v>
      </c>
      <c r="K6" s="28">
        <f t="shared" si="0"/>
        <v>51800065</v>
      </c>
      <c r="L6" s="28">
        <f t="shared" si="0"/>
        <v>56698042</v>
      </c>
      <c r="M6" s="28">
        <f t="shared" si="0"/>
        <v>57724174</v>
      </c>
      <c r="N6" s="28">
        <f>B6</f>
        <v>45377190</v>
      </c>
    </row>
    <row r="7" spans="1:18" s="8" customFormat="1" ht="11.25" x14ac:dyDescent="0.2">
      <c r="A7" s="2" t="s">
        <v>23</v>
      </c>
      <c r="B7" s="10" t="s">
        <v>1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2"/>
    </row>
    <row r="8" spans="1:18" s="8" customFormat="1" ht="11.25" customHeight="1" x14ac:dyDescent="0.2">
      <c r="A8" s="13" t="s">
        <v>24</v>
      </c>
      <c r="B8" s="14">
        <f>18034002+240453</f>
        <v>18274455</v>
      </c>
      <c r="C8" s="14">
        <v>18034002</v>
      </c>
      <c r="D8" s="14">
        <f>1683174+2404534+18034002</f>
        <v>22121710</v>
      </c>
      <c r="E8" s="14">
        <v>23804882</v>
      </c>
      <c r="F8" s="14">
        <v>22121709</v>
      </c>
      <c r="G8" s="14">
        <f>[1]INGRESOS!$E$12</f>
        <v>23323976</v>
      </c>
      <c r="H8" s="14">
        <f>[2]INGRESOS!$E$12</f>
        <v>24766696</v>
      </c>
      <c r="I8" s="14">
        <f>[3]INGRESOS!$E$12</f>
        <v>25968963</v>
      </c>
      <c r="J8" s="14">
        <f>[4]INGRESOS!$E$12</f>
        <v>27411683</v>
      </c>
      <c r="K8" s="14">
        <f>[5]INGRESOS!$E$12</f>
        <v>26449870</v>
      </c>
      <c r="L8" s="14">
        <f>[6]INGRESOS!$E$10+[6]INGRESOS!$E$11</f>
        <v>31018483</v>
      </c>
      <c r="M8" s="14">
        <f>[7]INGRESOS!$E$12</f>
        <v>30778030</v>
      </c>
      <c r="N8" s="32">
        <f>SUM(B8:M8)</f>
        <v>294074459</v>
      </c>
      <c r="O8" s="15"/>
      <c r="P8" s="15" t="s">
        <v>1</v>
      </c>
      <c r="Q8" s="15" t="s">
        <v>1</v>
      </c>
      <c r="R8" s="15"/>
    </row>
    <row r="9" spans="1:18" s="8" customFormat="1" ht="11.25" customHeight="1" x14ac:dyDescent="0.2">
      <c r="A9" s="16" t="s">
        <v>25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33">
        <f>SUM(B9:M9)</f>
        <v>0</v>
      </c>
    </row>
    <row r="10" spans="1:18" s="8" customFormat="1" ht="11.25" customHeight="1" x14ac:dyDescent="0.2">
      <c r="A10" s="16" t="s">
        <v>26</v>
      </c>
      <c r="B10" s="17">
        <v>974261</v>
      </c>
      <c r="C10" s="17">
        <v>0</v>
      </c>
      <c r="D10" s="17">
        <v>427223</v>
      </c>
      <c r="E10" s="17">
        <v>59071</v>
      </c>
      <c r="F10" s="17">
        <v>0</v>
      </c>
      <c r="G10" s="17">
        <v>0</v>
      </c>
      <c r="H10" s="17">
        <v>0</v>
      </c>
      <c r="I10" s="17">
        <v>0</v>
      </c>
      <c r="J10" s="17"/>
      <c r="K10" s="17"/>
      <c r="L10" s="17">
        <f>[6]INGRESOS!$E$12</f>
        <v>1447960</v>
      </c>
      <c r="M10" s="17">
        <v>0</v>
      </c>
      <c r="N10" s="33">
        <f>SUM(B10:M10)</f>
        <v>2908515</v>
      </c>
      <c r="O10" s="15"/>
    </row>
    <row r="11" spans="1:18" s="8" customFormat="1" ht="11.25" customHeight="1" x14ac:dyDescent="0.2">
      <c r="A11" s="16" t="s">
        <v>27</v>
      </c>
      <c r="B11" s="17">
        <v>4862434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33">
        <f t="shared" ref="N11:N16" si="1">SUM(B11:M11)</f>
        <v>4862434</v>
      </c>
    </row>
    <row r="12" spans="1:18" s="8" customFormat="1" ht="11.25" customHeight="1" x14ac:dyDescent="0.2">
      <c r="A12" s="16" t="s">
        <v>28</v>
      </c>
      <c r="B12" s="17">
        <v>0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33">
        <f t="shared" si="1"/>
        <v>0</v>
      </c>
    </row>
    <row r="13" spans="1:18" s="8" customFormat="1" ht="11.25" customHeight="1" x14ac:dyDescent="0.2">
      <c r="A13" s="16" t="s">
        <v>29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33">
        <f t="shared" si="1"/>
        <v>0</v>
      </c>
    </row>
    <row r="14" spans="1:18" s="8" customFormat="1" ht="11.25" customHeight="1" x14ac:dyDescent="0.2">
      <c r="A14" s="16" t="s">
        <v>30</v>
      </c>
      <c r="B14" s="17">
        <v>0</v>
      </c>
      <c r="C14" s="17">
        <v>0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33">
        <f t="shared" si="1"/>
        <v>0</v>
      </c>
    </row>
    <row r="15" spans="1:18" s="8" customFormat="1" ht="11.25" customHeight="1" x14ac:dyDescent="0.2">
      <c r="A15" s="16" t="s">
        <v>31</v>
      </c>
      <c r="B15" s="17">
        <v>0</v>
      </c>
      <c r="C15" s="17">
        <v>0</v>
      </c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33">
        <f t="shared" si="1"/>
        <v>0</v>
      </c>
    </row>
    <row r="16" spans="1:18" s="8" customFormat="1" ht="11.25" customHeight="1" x14ac:dyDescent="0.2">
      <c r="A16" s="18" t="s">
        <v>32</v>
      </c>
      <c r="B16" s="19">
        <v>0</v>
      </c>
      <c r="C16" s="19"/>
      <c r="D16" s="19">
        <v>0</v>
      </c>
      <c r="E16" s="17">
        <v>0</v>
      </c>
      <c r="F16" s="17">
        <v>0</v>
      </c>
      <c r="G16" s="19">
        <v>0</v>
      </c>
      <c r="H16" s="19">
        <v>0</v>
      </c>
      <c r="I16" s="19"/>
      <c r="J16" s="19"/>
      <c r="K16" s="19">
        <v>0</v>
      </c>
      <c r="L16" s="19">
        <v>0</v>
      </c>
      <c r="M16" s="19">
        <v>0</v>
      </c>
      <c r="N16" s="33">
        <f t="shared" si="1"/>
        <v>0</v>
      </c>
    </row>
    <row r="17" spans="1:15" s="8" customFormat="1" ht="11.25" x14ac:dyDescent="0.2">
      <c r="A17" s="2" t="s">
        <v>33</v>
      </c>
      <c r="B17" s="28">
        <f>SUM(B8:B16)</f>
        <v>24111150</v>
      </c>
      <c r="C17" s="28">
        <f t="shared" ref="C17:M17" si="2">SUM(C8:C16)</f>
        <v>18034002</v>
      </c>
      <c r="D17" s="28">
        <f t="shared" si="2"/>
        <v>22548933</v>
      </c>
      <c r="E17" s="28">
        <f>SUM(E8:E16)</f>
        <v>23863953</v>
      </c>
      <c r="F17" s="28">
        <f>SUM(F8:F16)</f>
        <v>22121709</v>
      </c>
      <c r="G17" s="28">
        <f t="shared" si="2"/>
        <v>23323976</v>
      </c>
      <c r="H17" s="28">
        <f t="shared" si="2"/>
        <v>24766696</v>
      </c>
      <c r="I17" s="28">
        <f t="shared" si="2"/>
        <v>25968963</v>
      </c>
      <c r="J17" s="28">
        <f t="shared" si="2"/>
        <v>27411683</v>
      </c>
      <c r="K17" s="28">
        <f t="shared" si="2"/>
        <v>26449870</v>
      </c>
      <c r="L17" s="28">
        <f t="shared" si="2"/>
        <v>32466443</v>
      </c>
      <c r="M17" s="28">
        <f t="shared" si="2"/>
        <v>30778030</v>
      </c>
      <c r="N17" s="28">
        <f>SUM(N8:N16)</f>
        <v>301845408</v>
      </c>
    </row>
    <row r="18" spans="1:15" s="8" customFormat="1" ht="11.25" x14ac:dyDescent="0.2">
      <c r="A18" s="2" t="s">
        <v>34</v>
      </c>
      <c r="B18" s="28">
        <f>B6+B17</f>
        <v>69488340</v>
      </c>
      <c r="C18" s="28">
        <f>SUM(C6:C11)</f>
        <v>60950062</v>
      </c>
      <c r="D18" s="28">
        <f t="shared" ref="D18:M18" si="3">SUM(D6:D16)</f>
        <v>62992101</v>
      </c>
      <c r="E18" s="28">
        <f t="shared" si="3"/>
        <v>66000312</v>
      </c>
      <c r="F18" s="28">
        <f t="shared" si="3"/>
        <v>64444553</v>
      </c>
      <c r="G18" s="28">
        <f t="shared" si="3"/>
        <v>66726941</v>
      </c>
      <c r="H18" s="28">
        <f t="shared" si="3"/>
        <v>69458922</v>
      </c>
      <c r="I18" s="28">
        <f t="shared" si="3"/>
        <v>72179366</v>
      </c>
      <c r="J18" s="28">
        <f t="shared" si="3"/>
        <v>74877374</v>
      </c>
      <c r="K18" s="28">
        <f t="shared" si="3"/>
        <v>78249935</v>
      </c>
      <c r="L18" s="28">
        <f t="shared" si="3"/>
        <v>89164485</v>
      </c>
      <c r="M18" s="28">
        <f t="shared" si="3"/>
        <v>88502204</v>
      </c>
      <c r="N18" s="28">
        <f>N6+N17</f>
        <v>347222598</v>
      </c>
    </row>
    <row r="19" spans="1:15" s="8" customFormat="1" ht="11.25" x14ac:dyDescent="0.2">
      <c r="A19" s="2" t="s">
        <v>35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5" s="8" customFormat="1" ht="11.25" customHeight="1" x14ac:dyDescent="0.2">
      <c r="A20" s="3" t="s">
        <v>36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31"/>
    </row>
    <row r="21" spans="1:15" s="8" customFormat="1" ht="11.25" customHeight="1" x14ac:dyDescent="0.2">
      <c r="A21" s="4" t="s">
        <v>69</v>
      </c>
      <c r="B21" s="17">
        <v>0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33">
        <f>SUM(B21:M21)</f>
        <v>0</v>
      </c>
    </row>
    <row r="22" spans="1:15" s="8" customFormat="1" ht="11.25" customHeight="1" x14ac:dyDescent="0.2">
      <c r="A22" s="4" t="s">
        <v>37</v>
      </c>
      <c r="B22" s="17">
        <v>0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33">
        <f t="shared" ref="N22:N28" si="4">SUM(B22:M22)</f>
        <v>0</v>
      </c>
    </row>
    <row r="23" spans="1:15" s="8" customFormat="1" ht="11.25" customHeight="1" x14ac:dyDescent="0.2">
      <c r="A23" s="4" t="s">
        <v>38</v>
      </c>
      <c r="B23" s="17">
        <v>3961010</v>
      </c>
      <c r="C23" s="17">
        <v>4064518</v>
      </c>
      <c r="D23" s="17">
        <v>4294906</v>
      </c>
      <c r="E23" s="17">
        <v>4518267</v>
      </c>
      <c r="F23" s="17">
        <v>4457748</v>
      </c>
      <c r="G23" s="17">
        <f>[1]EGRESOS!$H$21</f>
        <v>4516781</v>
      </c>
      <c r="H23" s="17">
        <f>[2]EGRESOS!$H$18</f>
        <v>4736938</v>
      </c>
      <c r="I23" s="17">
        <f>[3]EGRESOS!$H$41</f>
        <v>4665695</v>
      </c>
      <c r="J23" s="17">
        <f>[4]EGRESOS!$H$20</f>
        <v>4780504</v>
      </c>
      <c r="K23" s="17">
        <f>[5]EGRESOS!$H$15</f>
        <v>4734849</v>
      </c>
      <c r="L23" s="17">
        <f>[6]EGRESOS!$H$26</f>
        <v>4495313</v>
      </c>
      <c r="M23" s="17">
        <f>[7]EGRESOS!$H$32</f>
        <v>5824230</v>
      </c>
      <c r="N23" s="33">
        <f t="shared" si="4"/>
        <v>55050759</v>
      </c>
    </row>
    <row r="24" spans="1:15" s="8" customFormat="1" ht="11.25" customHeight="1" x14ac:dyDescent="0.2">
      <c r="A24" s="4" t="s">
        <v>39</v>
      </c>
      <c r="B24" s="17">
        <v>42196</v>
      </c>
      <c r="C24" s="17">
        <v>53150</v>
      </c>
      <c r="D24" s="17">
        <v>61801</v>
      </c>
      <c r="E24" s="17">
        <v>74169</v>
      </c>
      <c r="F24" s="17">
        <v>58642</v>
      </c>
      <c r="G24" s="17">
        <f>[1]EGRESOS!$H$18</f>
        <v>65669</v>
      </c>
      <c r="H24" s="17">
        <f>[2]EGRESOS!$H$17</f>
        <v>71481</v>
      </c>
      <c r="I24" s="17">
        <f>[3]EGRESOS!$H$20</f>
        <v>70199</v>
      </c>
      <c r="J24" s="17">
        <f>[4]EGRESOS!$H$17</f>
        <v>71343</v>
      </c>
      <c r="K24" s="17">
        <f>[5]EGRESOS!$H$13</f>
        <v>68553</v>
      </c>
      <c r="L24" s="17">
        <f>[6]EGRESOS!$H$24</f>
        <v>68559</v>
      </c>
      <c r="M24" s="17">
        <f>[7]EGRESOS!$H$30</f>
        <v>83389</v>
      </c>
      <c r="N24" s="33">
        <f t="shared" si="4"/>
        <v>789151</v>
      </c>
    </row>
    <row r="25" spans="1:15" s="8" customFormat="1" ht="11.25" customHeight="1" x14ac:dyDescent="0.2">
      <c r="A25" s="4" t="s">
        <v>40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33">
        <f>SUM(B25:M25)</f>
        <v>0</v>
      </c>
    </row>
    <row r="26" spans="1:15" s="8" customFormat="1" ht="11.25" customHeight="1" x14ac:dyDescent="0.2">
      <c r="A26" s="4" t="s">
        <v>68</v>
      </c>
      <c r="B26" s="17">
        <v>0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33">
        <f t="shared" si="4"/>
        <v>0</v>
      </c>
    </row>
    <row r="27" spans="1:15" s="8" customFormat="1" ht="11.25" customHeight="1" x14ac:dyDescent="0.2">
      <c r="A27" s="4" t="s">
        <v>41</v>
      </c>
      <c r="B27" s="17">
        <f>36592+26400+1169000</f>
        <v>1231992</v>
      </c>
      <c r="C27" s="17">
        <f>26400+27000+36754+300000+180000</f>
        <v>570154</v>
      </c>
      <c r="D27" s="17">
        <f>26400+36723+60000</f>
        <v>123123</v>
      </c>
      <c r="E27" s="17">
        <v>303375</v>
      </c>
      <c r="F27" s="17">
        <v>303610</v>
      </c>
      <c r="G27" s="17">
        <f>[1]EGRESOS!$H$11+[1]EGRESOS!$H$14</f>
        <v>63784</v>
      </c>
      <c r="H27" s="17">
        <f>[2]EGRESOS!$H$13+[2]EGRESOS!$H$16</f>
        <v>63893</v>
      </c>
      <c r="I27" s="17">
        <f>[3]EGRESOS!$H$10+[3]EGRESOS!$H$18+[3]EGRESOS!$H$19</f>
        <v>1649045</v>
      </c>
      <c r="J27" s="17">
        <f>[4]EGRESOS!$H$13+[4]EGRESOS!$H$14</f>
        <v>63882</v>
      </c>
      <c r="K27" s="17">
        <f>[5]EGRESOS!$H$11+[5]EGRESOS!$H$12</f>
        <v>64078</v>
      </c>
      <c r="L27" s="17">
        <f>[6]EGRESOS!$H$11+[6]EGRESOS!$H$12</f>
        <v>64176</v>
      </c>
      <c r="M27" s="17">
        <f>[7]EGRESOS!$H$14+[7]EGRESOS!$H$15</f>
        <v>64283</v>
      </c>
      <c r="N27" s="33">
        <f t="shared" si="4"/>
        <v>4565395</v>
      </c>
    </row>
    <row r="28" spans="1:15" s="8" customFormat="1" ht="11.25" customHeight="1" x14ac:dyDescent="0.2">
      <c r="A28" s="4" t="s">
        <v>42</v>
      </c>
      <c r="B28" s="17">
        <v>10432384</v>
      </c>
      <c r="C28" s="17">
        <f>570000+10859184</f>
        <v>11429184</v>
      </c>
      <c r="D28" s="17">
        <f>900000+10987254</f>
        <v>11887254</v>
      </c>
      <c r="E28" s="17">
        <v>10834227</v>
      </c>
      <c r="F28" s="17">
        <v>11082768</v>
      </c>
      <c r="G28" s="17">
        <f>[1]EGRESOS!$H$22+[1]EGRESOS!$H$23+[1]EGRESOS!$H$24+[1]EGRESOS!$H$25+[1]EGRESOS!$H$26+[1]EGRESOS!$H$27+[1]EGRESOS!$H$28+[1]EGRESOS!$H$29+[1]EGRESOS!$H$30+[1]EGRESOS!$H$44</f>
        <v>11764947</v>
      </c>
      <c r="H28" s="17">
        <f>[2]EGRESOS!$H$21+[2]EGRESOS!$H$22+[2]EGRESOS!$H$23+[2]EGRESOS!$H$24+[2]EGRESOS!$H$43+[2]EGRESOS!$H$48</f>
        <v>11845879</v>
      </c>
      <c r="I28" s="17">
        <f>[3]EGRESOS!$H$33+[3]EGRESOS!$H$34+[3]EGRESOS!$H$35+[3]EGRESOS!$H$36+[3]EGRESOS!$H$37+[3]EGRESOS!$H$38+[3]EGRESOS!$H$39+[3]EGRESOS!$H$40+[3]EGRESOS!$H$42+[3]EGRESOS!$H$63</f>
        <v>11862690</v>
      </c>
      <c r="J28" s="17">
        <f>[4]EGRESOS!$H$29+[4]EGRESOS!$H$30+[4]EGRESOS!$H$31+[4]EGRESOS!$H$32+[4]EGRESOS!$H$33+[4]EGRESOS!$H$34+[4]EGRESOS!$H$35+[4]EGRESOS!$H$36+[4]EGRESOS!$H$48</f>
        <v>11690035</v>
      </c>
      <c r="K28" s="17">
        <f>[5]EGRESOS!$H$18+[5]EGRESOS!$H$19+[5]EGRESOS!$H$20+[5]EGRESOS!$H$21+[5]EGRESOS!$H$22+[5]EGRESOS!$H$23+[5]EGRESOS!$H$24+[5]EGRESOS!$H$25+[5]EGRESOS!$H$26+[5]EGRESOS!$H$48+[5]EGRESOS!$H$51</f>
        <v>11054264</v>
      </c>
      <c r="L28" s="17">
        <f>[6]EGRESOS!$H$27+[6]EGRESOS!$H$28+[6]EGRESOS!$H$29+[6]EGRESOS!$H$30+[6]EGRESOS!$H$31+[6]EGRESOS!$H$32+[6]EGRESOS!$H$33+[6]EGRESOS!$H$34+[6]EGRESOS!$H$55</f>
        <v>15769841</v>
      </c>
      <c r="M28" s="17">
        <f>[7]EGRESOS!$H$37+[7]EGRESOS!$H$38+[7]EGRESOS!$H$39+[7]EGRESOS!$H$40+[7]EGRESOS!$H$41+[7]EGRESOS!$H$42+[7]EGRESOS!$H$43+[7]EGRESOS!$H$44+[7]EGRESOS!$H$45+[7]EGRESOS!$H$46+[7]EGRESOS!$H$72</f>
        <v>16250351</v>
      </c>
      <c r="N28" s="33">
        <f t="shared" si="4"/>
        <v>145903824</v>
      </c>
    </row>
    <row r="29" spans="1:15" s="8" customFormat="1" ht="11.25" x14ac:dyDescent="0.2">
      <c r="A29" s="2" t="s">
        <v>43</v>
      </c>
      <c r="B29" s="28">
        <f>SUM(B21:B28)</f>
        <v>15667582</v>
      </c>
      <c r="C29" s="28">
        <f t="shared" ref="C29:M29" si="5">SUM(C21:C28)</f>
        <v>16117006</v>
      </c>
      <c r="D29" s="28">
        <f t="shared" si="5"/>
        <v>16367084</v>
      </c>
      <c r="E29" s="28">
        <f>SUM(E21:E28)</f>
        <v>15730038</v>
      </c>
      <c r="F29" s="28">
        <f t="shared" si="5"/>
        <v>15902768</v>
      </c>
      <c r="G29" s="28">
        <f t="shared" si="5"/>
        <v>16411181</v>
      </c>
      <c r="H29" s="28">
        <f t="shared" si="5"/>
        <v>16718191</v>
      </c>
      <c r="I29" s="28">
        <f t="shared" si="5"/>
        <v>18247629</v>
      </c>
      <c r="J29" s="28">
        <f t="shared" si="5"/>
        <v>16605764</v>
      </c>
      <c r="K29" s="28">
        <f t="shared" si="5"/>
        <v>15921744</v>
      </c>
      <c r="L29" s="28">
        <f t="shared" si="5"/>
        <v>20397889</v>
      </c>
      <c r="M29" s="28">
        <f t="shared" si="5"/>
        <v>22222253</v>
      </c>
      <c r="N29" s="28">
        <f>SUM(N21:N28)</f>
        <v>206309129</v>
      </c>
    </row>
    <row r="30" spans="1:15" s="5" customFormat="1" ht="11.25" x14ac:dyDescent="0.2">
      <c r="A30" s="5" t="s">
        <v>44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 s="8" customFormat="1" ht="11.25" customHeight="1" x14ac:dyDescent="0.2">
      <c r="A31" s="6" t="s">
        <v>45</v>
      </c>
      <c r="B31" s="20">
        <v>201058</v>
      </c>
      <c r="C31" s="20">
        <v>256140</v>
      </c>
      <c r="D31" s="20">
        <v>0</v>
      </c>
      <c r="E31" s="20">
        <v>483583</v>
      </c>
      <c r="F31" s="20">
        <v>249117</v>
      </c>
      <c r="G31" s="20">
        <v>313190</v>
      </c>
      <c r="H31" s="20">
        <v>551069</v>
      </c>
      <c r="I31" s="20">
        <v>467022</v>
      </c>
      <c r="J31" s="20">
        <f>[4]EGRESOS!$H$21+[4]EGRESOS!$H$22+[4]EGRESOS!$H$23</f>
        <v>219573</v>
      </c>
      <c r="K31" s="20">
        <f>[5]EGRESOS!$H$31+[5]EGRESOS!$H$32+[5]EGRESOS!$H$33+[5]EGRESOS!$H$34</f>
        <v>449262</v>
      </c>
      <c r="L31" s="20">
        <f>[6]EGRESOS!$H$19+[6]EGRESOS!$H$20+[6]EGRESOS!$H$21+[6]EGRESOS!$H$47+[6]EGRESOS!$H$48+[6]EGRESOS!$H$49</f>
        <v>595782</v>
      </c>
      <c r="M31" s="20">
        <f>[7]EGRESOS!$H$19+[7]EGRESOS!$H$24+[7]EGRESOS!$H$26+[7]EGRESOS!$H$28+[7]EGRESOS!$H$50+[7]EGRESOS!$H$51+[7]EGRESOS!$H$52</f>
        <v>1740820</v>
      </c>
      <c r="N31" s="34">
        <f t="shared" ref="N31:N45" si="6">SUM(B31:M31)</f>
        <v>5526616</v>
      </c>
    </row>
    <row r="32" spans="1:15" s="8" customFormat="1" ht="11.25" customHeight="1" x14ac:dyDescent="0.2">
      <c r="A32" s="7" t="s">
        <v>46</v>
      </c>
      <c r="B32" s="17">
        <v>0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/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33">
        <f t="shared" si="6"/>
        <v>0</v>
      </c>
    </row>
    <row r="33" spans="1:14" s="8" customFormat="1" ht="11.25" customHeight="1" x14ac:dyDescent="0.2">
      <c r="A33" s="7" t="s">
        <v>47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/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33">
        <f t="shared" si="6"/>
        <v>0</v>
      </c>
    </row>
    <row r="34" spans="1:14" s="8" customFormat="1" ht="11.25" customHeight="1" x14ac:dyDescent="0.2">
      <c r="A34" s="7" t="s">
        <v>48</v>
      </c>
      <c r="B34" s="17">
        <f>26350+16541</f>
        <v>42891</v>
      </c>
      <c r="C34" s="17">
        <f>16541+1400+99577+30300+105800</f>
        <v>253618</v>
      </c>
      <c r="D34" s="17">
        <f>16541+33550</f>
        <v>50091</v>
      </c>
      <c r="E34" s="17">
        <v>462036</v>
      </c>
      <c r="F34" s="17">
        <v>133179</v>
      </c>
      <c r="G34" s="17">
        <v>455887</v>
      </c>
      <c r="H34" s="17">
        <v>175495</v>
      </c>
      <c r="I34" s="17">
        <v>183837</v>
      </c>
      <c r="J34" s="17">
        <f>[4]EGRESOS!$H$9+[4]EGRESOS!$H$12+[4]EGRESOS!$H$39+[4]EGRESOS!$H$40</f>
        <v>352247</v>
      </c>
      <c r="K34" s="17">
        <f>[5]EGRESOS!$H$9+[5]EGRESOS!$H$10+[5]EGRESOS!$H$41+[5]EGRESOS!$H$42-463</f>
        <v>229484</v>
      </c>
      <c r="L34" s="17">
        <f>[6]EGRESOS!$H$9+[6]EGRESOS!$H$15+[6]EGRESOS!$H$42+[6]EGRESOS!$H$43</f>
        <v>175551</v>
      </c>
      <c r="M34" s="17">
        <f>[7]EGRESOS!$H$9+[7]EGRESOS!$H$33+[7]EGRESOS!$H$35+[7]EGRESOS!$H$36+[7]EGRESOS!$H$58+[7]EGRESOS!$H$59</f>
        <v>316151</v>
      </c>
      <c r="N34" s="33">
        <f t="shared" si="6"/>
        <v>2830467</v>
      </c>
    </row>
    <row r="35" spans="1:14" s="8" customFormat="1" ht="11.25" customHeight="1" x14ac:dyDescent="0.2">
      <c r="A35" s="7" t="s">
        <v>49</v>
      </c>
      <c r="B35" s="17">
        <f>300000</f>
        <v>300000</v>
      </c>
      <c r="C35" s="17">
        <v>0</v>
      </c>
      <c r="D35" s="17">
        <v>0</v>
      </c>
      <c r="E35" s="17">
        <v>0</v>
      </c>
      <c r="F35" s="17">
        <v>0</v>
      </c>
      <c r="G35" s="17">
        <v>-300000</v>
      </c>
      <c r="H35" s="17">
        <v>400000</v>
      </c>
      <c r="I35" s="17">
        <v>0</v>
      </c>
      <c r="J35" s="17">
        <v>0</v>
      </c>
      <c r="K35" s="17">
        <v>0</v>
      </c>
      <c r="L35" s="17">
        <v>0</v>
      </c>
      <c r="M35" s="17">
        <v>-400000</v>
      </c>
      <c r="N35" s="33">
        <f t="shared" si="6"/>
        <v>0</v>
      </c>
    </row>
    <row r="36" spans="1:14" s="8" customFormat="1" ht="11.25" customHeight="1" x14ac:dyDescent="0.2">
      <c r="A36" s="7" t="s">
        <v>50</v>
      </c>
      <c r="B36" s="17">
        <v>0</v>
      </c>
      <c r="C36" s="17">
        <v>0</v>
      </c>
      <c r="D36" s="17">
        <v>0</v>
      </c>
      <c r="E36" s="17">
        <v>0</v>
      </c>
      <c r="F36" s="17">
        <v>0</v>
      </c>
      <c r="G36" s="17">
        <v>0</v>
      </c>
      <c r="H36" s="17">
        <v>150000</v>
      </c>
      <c r="I36" s="17">
        <v>218730</v>
      </c>
      <c r="J36" s="17">
        <v>0</v>
      </c>
      <c r="K36" s="17">
        <v>0</v>
      </c>
      <c r="L36" s="17">
        <v>0</v>
      </c>
      <c r="M36" s="17">
        <v>0</v>
      </c>
      <c r="N36" s="33">
        <f t="shared" si="6"/>
        <v>368730</v>
      </c>
    </row>
    <row r="37" spans="1:14" s="8" customFormat="1" ht="11.25" customHeight="1" x14ac:dyDescent="0.2">
      <c r="A37" s="7" t="s">
        <v>51</v>
      </c>
      <c r="B37" s="17">
        <v>0</v>
      </c>
      <c r="C37" s="17"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33">
        <f t="shared" si="6"/>
        <v>0</v>
      </c>
    </row>
    <row r="38" spans="1:14" s="8" customFormat="1" ht="11.25" customHeight="1" x14ac:dyDescent="0.2">
      <c r="A38" s="7" t="s">
        <v>52</v>
      </c>
      <c r="B38" s="17">
        <v>0</v>
      </c>
      <c r="C38" s="17"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45000</v>
      </c>
      <c r="J38" s="17">
        <v>7632</v>
      </c>
      <c r="K38" s="17">
        <v>0</v>
      </c>
      <c r="L38" s="17">
        <v>218320</v>
      </c>
      <c r="M38" s="17">
        <v>0</v>
      </c>
      <c r="N38" s="33">
        <f t="shared" si="6"/>
        <v>270952</v>
      </c>
    </row>
    <row r="39" spans="1:14" s="8" customFormat="1" ht="11.25" customHeight="1" x14ac:dyDescent="0.2">
      <c r="A39" s="7" t="s">
        <v>53</v>
      </c>
      <c r="B39" s="17">
        <v>507892</v>
      </c>
      <c r="C39" s="17">
        <f>177441+411622</f>
        <v>589063</v>
      </c>
      <c r="D39" s="17">
        <v>346528</v>
      </c>
      <c r="E39" s="17">
        <v>424116</v>
      </c>
      <c r="F39" s="17">
        <v>174882</v>
      </c>
      <c r="G39" s="17">
        <f>[1]EGRESOS!$H$20</f>
        <v>358416</v>
      </c>
      <c r="H39" s="17">
        <v>412097</v>
      </c>
      <c r="I39" s="17">
        <v>187913</v>
      </c>
      <c r="J39" s="17">
        <f>[4]EGRESOS!$H$50+[4]EGRESOS!$H$51</f>
        <v>535714</v>
      </c>
      <c r="K39" s="17">
        <v>0</v>
      </c>
      <c r="L39" s="17">
        <f>[6]EGRESOS!$H$50+[6]EGRESOS!$H$51</f>
        <v>353430</v>
      </c>
      <c r="M39" s="17">
        <v>0</v>
      </c>
      <c r="N39" s="33">
        <f t="shared" si="6"/>
        <v>3890051</v>
      </c>
    </row>
    <row r="40" spans="1:14" s="8" customFormat="1" ht="11.25" customHeight="1" x14ac:dyDescent="0.2">
      <c r="A40" s="7" t="s">
        <v>54</v>
      </c>
      <c r="B40" s="17">
        <v>268949</v>
      </c>
      <c r="C40" s="17">
        <v>203979</v>
      </c>
      <c r="D40" s="17">
        <v>0</v>
      </c>
      <c r="E40" s="17">
        <v>396978</v>
      </c>
      <c r="F40" s="17">
        <v>198638</v>
      </c>
      <c r="G40" s="17">
        <v>248411</v>
      </c>
      <c r="H40" s="17">
        <v>231087</v>
      </c>
      <c r="I40" s="17">
        <v>255619</v>
      </c>
      <c r="J40" s="17">
        <f>[4]EGRESOS!$H$24+[4]EGRESOS!$H$25+[4]EGRESOS!$H$26</f>
        <v>504550</v>
      </c>
      <c r="K40" s="17">
        <f>[5]EGRESOS!$H$35+[5]EGRESOS!$H$36</f>
        <v>225257</v>
      </c>
      <c r="L40" s="17">
        <f>[6]EGRESOS!$H$22+[6]EGRESOS!$H$23</f>
        <v>258450</v>
      </c>
      <c r="M40" s="17">
        <f>[7]EGRESOS!$H$48+[7]EGRESOS!$H$49</f>
        <v>413571</v>
      </c>
      <c r="N40" s="33">
        <f t="shared" si="6"/>
        <v>3205489</v>
      </c>
    </row>
    <row r="41" spans="1:14" s="8" customFormat="1" ht="11.25" customHeight="1" x14ac:dyDescent="0.2">
      <c r="A41" s="7" t="s">
        <v>55</v>
      </c>
      <c r="B41" s="17">
        <f>179600+158200+239700</f>
        <v>577500</v>
      </c>
      <c r="C41" s="17">
        <f>121100+138000+166600+154000</f>
        <v>579700</v>
      </c>
      <c r="D41" s="17">
        <f>213800+169800+150200+221400</f>
        <v>755200</v>
      </c>
      <c r="E41" s="17">
        <v>1170000</v>
      </c>
      <c r="F41" s="17">
        <v>846100</v>
      </c>
      <c r="G41" s="17">
        <v>1031000</v>
      </c>
      <c r="H41" s="17">
        <v>644040</v>
      </c>
      <c r="I41" s="17">
        <v>1118350</v>
      </c>
      <c r="J41" s="17">
        <f>[4]EGRESOS!$H$10+[4]EGRESOS!$H$15+[4]EGRESOS!$H$27+[4]EGRESOS!$H$41+[4]EGRESOS!$H$52</f>
        <v>1250200</v>
      </c>
      <c r="K41" s="17">
        <f>[5]EGRESOS!$H$27+[5]EGRESOS!$H$37+[5]EGRESOS!$H$46</f>
        <v>806200</v>
      </c>
      <c r="L41" s="17">
        <f>[6]EGRESOS!$H$16+[6]EGRESOS!$H$37+[6]EGRESOS!$H$45+[6]EGRESOS!$H$52</f>
        <v>1071730</v>
      </c>
      <c r="M41" s="17">
        <f>[7]EGRESOS!$H$10+[7]EGRESOS!$H$20+[7]EGRESOS!$H$53+[7]EGRESOS!$H$61+[7]EGRESOS!$H$64+[7]EGRESOS!$H$65+[7]EGRESOS!$H$67+[7]EGRESOS!$H$69</f>
        <v>1516040</v>
      </c>
      <c r="N41" s="33">
        <f t="shared" si="6"/>
        <v>11366060</v>
      </c>
    </row>
    <row r="42" spans="1:14" s="8" customFormat="1" ht="11.25" customHeight="1" x14ac:dyDescent="0.2">
      <c r="A42" s="7" t="s">
        <v>56</v>
      </c>
      <c r="B42" s="17">
        <f>85680+101390+30410</f>
        <v>217480</v>
      </c>
      <c r="C42" s="17">
        <f>118360+138380+89080+81260</f>
        <v>427080</v>
      </c>
      <c r="D42" s="17">
        <f>40360+114170+109750+61070</f>
        <v>325350</v>
      </c>
      <c r="E42" s="17">
        <v>211590</v>
      </c>
      <c r="F42" s="17">
        <v>115250</v>
      </c>
      <c r="G42" s="17">
        <v>407880</v>
      </c>
      <c r="H42" s="17">
        <v>190590</v>
      </c>
      <c r="I42" s="17">
        <v>658730</v>
      </c>
      <c r="J42" s="17">
        <f>[4]EGRESOS!$H$11+[4]EGRESOS!$H$16+[4]EGRESOS!$H$28+[4]EGRESOS!$H$42+[4]EGRESOS!$H$53</f>
        <v>376530</v>
      </c>
      <c r="K42" s="17">
        <f>[5]EGRESOS!$H$28+[5]EGRESOS!$H$38+[5]EGRESOS!$H$47</f>
        <v>201400</v>
      </c>
      <c r="L42" s="17">
        <f>[6]EGRESOS!$H$17+[6]EGRESOS!$H$38+[6]EGRESOS!$H$46+[6]EGRESOS!$H$53</f>
        <v>298780</v>
      </c>
      <c r="M42" s="17">
        <f>[7]EGRESOS!$H$11+[7]EGRESOS!$H$21+[7]EGRESOS!$H$54+[7]EGRESOS!$H$62+[7]EGRESOS!$H$68+[7]EGRESOS!$H$70</f>
        <v>527410</v>
      </c>
      <c r="N42" s="33">
        <f t="shared" si="6"/>
        <v>3958070</v>
      </c>
    </row>
    <row r="43" spans="1:14" s="8" customFormat="1" ht="11.25" customHeight="1" x14ac:dyDescent="0.2">
      <c r="A43" s="7" t="s">
        <v>57</v>
      </c>
      <c r="B43" s="17">
        <v>0</v>
      </c>
      <c r="C43" s="17">
        <v>69990</v>
      </c>
      <c r="D43" s="17">
        <v>69990</v>
      </c>
      <c r="E43" s="17">
        <v>110000</v>
      </c>
      <c r="F43" s="17">
        <v>55000</v>
      </c>
      <c r="G43" s="17">
        <v>250000</v>
      </c>
      <c r="H43" s="17">
        <v>310060</v>
      </c>
      <c r="I43" s="17">
        <v>200000</v>
      </c>
      <c r="J43" s="17">
        <v>60000</v>
      </c>
      <c r="K43" s="17">
        <v>69990</v>
      </c>
      <c r="L43" s="17">
        <v>55000</v>
      </c>
      <c r="M43" s="17">
        <v>0</v>
      </c>
      <c r="N43" s="33">
        <f t="shared" si="6"/>
        <v>1250030</v>
      </c>
    </row>
    <row r="44" spans="1:14" s="8" customFormat="1" ht="11.25" customHeight="1" x14ac:dyDescent="0.2">
      <c r="A44" s="7" t="s">
        <v>58</v>
      </c>
      <c r="B44" s="17">
        <f>45306+54542+24990+150000</f>
        <v>274838</v>
      </c>
      <c r="C44" s="17">
        <f>152428+54490</f>
        <v>206918</v>
      </c>
      <c r="D44" s="17">
        <f>54889+50000+101150+77350+10990</f>
        <v>294379</v>
      </c>
      <c r="E44" s="17">
        <v>419086</v>
      </c>
      <c r="F44" s="17">
        <v>709266</v>
      </c>
      <c r="G44" s="17">
        <v>117476</v>
      </c>
      <c r="H44" s="17">
        <v>325661</v>
      </c>
      <c r="I44" s="17">
        <v>492629</v>
      </c>
      <c r="J44" s="17">
        <f>[4]EGRESOS!$H$18+[4]EGRESOS!$H$38+[4]EGRESOS!$H$44+[4]EGRESOS!$H$45</f>
        <v>423931</v>
      </c>
      <c r="K44" s="17">
        <v>1003570</v>
      </c>
      <c r="L44" s="17">
        <f>[6]EGRESOS!$H$10+[6]EGRESOS!$H$13+[6]EGRESOS!$H$14+[6]EGRESOS!$H$18+[6]EGRESOS!$H$25+[6]EGRESOS!$H$36+[6]EGRESOS!$H$40+[6]EGRESOS!$H$44</f>
        <v>3465571</v>
      </c>
      <c r="M44" s="17">
        <f>[7]EGRESOS!$H$12+[7]EGRESOS!$H$13+[7]EGRESOS!$H$16+[7]EGRESOS!$H$17+[7]EGRESOS!$H$18+[7]EGRESOS!$H$22+[7]EGRESOS!$H$23+[7]EGRESOS!$H$25+[7]EGRESOS!$H$27+[7]EGRESOS!$H$31+[7]EGRESOS!$H$34+[7]EGRESOS!$H$47+[7]EGRESOS!$H$55+[7]EGRESOS!$H$57+[7]EGRESOS!$H$63</f>
        <v>3778882</v>
      </c>
      <c r="N44" s="33">
        <f t="shared" si="6"/>
        <v>11512207</v>
      </c>
    </row>
    <row r="45" spans="1:14" s="8" customFormat="1" ht="11.25" customHeight="1" x14ac:dyDescent="0.2">
      <c r="A45" s="7" t="s">
        <v>70</v>
      </c>
      <c r="B45" s="17">
        <v>7664140</v>
      </c>
      <c r="C45" s="17">
        <f>1803400</f>
        <v>1803400</v>
      </c>
      <c r="D45" s="17">
        <f>168317+240453+1803400</f>
        <v>2212170</v>
      </c>
      <c r="E45" s="17">
        <v>1862471</v>
      </c>
      <c r="F45" s="17">
        <v>2380488</v>
      </c>
      <c r="G45" s="17">
        <v>2741274</v>
      </c>
      <c r="H45" s="17">
        <v>2476669</v>
      </c>
      <c r="I45" s="17">
        <v>2596896</v>
      </c>
      <c r="J45" s="17">
        <f>[4]EGRESOS!$H$37+[4]EGRESOS!$H$46</f>
        <v>2741168</v>
      </c>
      <c r="K45" s="17">
        <f>[5]EGRESOS!$H$39+[5]EGRESOS!$H$53</f>
        <v>2644986</v>
      </c>
      <c r="L45" s="17">
        <f>[6]EGRESOS!$H$39+[6]EGRESOS!$H$54+[6]EGRESOS!$H$56</f>
        <v>4549808</v>
      </c>
      <c r="M45" s="17">
        <f>[7]EGRESOS!$H$56+[7]EGRESOS!$H$71</f>
        <v>3077802</v>
      </c>
      <c r="N45" s="33">
        <f t="shared" si="6"/>
        <v>36751272</v>
      </c>
    </row>
    <row r="46" spans="1:14" s="8" customFormat="1" ht="11.25" customHeight="1" x14ac:dyDescent="0.2">
      <c r="A46" s="7" t="s">
        <v>59</v>
      </c>
      <c r="B46" s="17">
        <v>0</v>
      </c>
      <c r="C46" s="17">
        <v>0</v>
      </c>
      <c r="D46" s="17">
        <v>107960</v>
      </c>
      <c r="E46" s="17">
        <v>0</v>
      </c>
      <c r="F46" s="17">
        <v>0</v>
      </c>
      <c r="G46" s="17">
        <v>0</v>
      </c>
      <c r="H46" s="17">
        <v>0</v>
      </c>
      <c r="I46" s="17">
        <v>41320</v>
      </c>
      <c r="J46" s="17">
        <v>0</v>
      </c>
      <c r="K46" s="17">
        <v>0</v>
      </c>
      <c r="L46" s="17">
        <v>0</v>
      </c>
      <c r="M46" s="17"/>
      <c r="N46" s="33">
        <f>SUM(B46:M46)</f>
        <v>149280</v>
      </c>
    </row>
    <row r="47" spans="1:14" s="5" customFormat="1" ht="11.25" x14ac:dyDescent="0.2">
      <c r="A47" s="2" t="s">
        <v>60</v>
      </c>
      <c r="B47" s="28">
        <f>SUM(B31:B46)</f>
        <v>10054748</v>
      </c>
      <c r="C47" s="28">
        <f t="shared" ref="C47:N47" si="7">SUM(C31:C46)</f>
        <v>4389888</v>
      </c>
      <c r="D47" s="28">
        <f t="shared" si="7"/>
        <v>4161668</v>
      </c>
      <c r="E47" s="28">
        <f t="shared" si="7"/>
        <v>5539860</v>
      </c>
      <c r="F47" s="28">
        <f t="shared" si="7"/>
        <v>4861920</v>
      </c>
      <c r="G47" s="28">
        <f t="shared" si="7"/>
        <v>5623534</v>
      </c>
      <c r="H47" s="28">
        <f t="shared" si="7"/>
        <v>5866768</v>
      </c>
      <c r="I47" s="28">
        <f t="shared" si="7"/>
        <v>6466046</v>
      </c>
      <c r="J47" s="28">
        <f t="shared" si="7"/>
        <v>6471545</v>
      </c>
      <c r="K47" s="28">
        <f t="shared" si="7"/>
        <v>5630149</v>
      </c>
      <c r="L47" s="28">
        <f t="shared" si="7"/>
        <v>11042422</v>
      </c>
      <c r="M47" s="28">
        <f t="shared" si="7"/>
        <v>10970676</v>
      </c>
      <c r="N47" s="28">
        <f t="shared" si="7"/>
        <v>81079224</v>
      </c>
    </row>
    <row r="48" spans="1:14" s="8" customFormat="1" ht="11.25" x14ac:dyDescent="0.2">
      <c r="A48" s="5" t="s">
        <v>61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</row>
    <row r="49" spans="1:17" s="8" customFormat="1" ht="11.25" customHeight="1" x14ac:dyDescent="0.2">
      <c r="A49" s="22" t="s">
        <v>62</v>
      </c>
      <c r="B49" s="20">
        <v>849950</v>
      </c>
      <c r="C49" s="20">
        <v>0</v>
      </c>
      <c r="D49" s="20">
        <v>326990</v>
      </c>
      <c r="E49" s="20">
        <v>2407570</v>
      </c>
      <c r="F49" s="20">
        <v>276900</v>
      </c>
      <c r="G49" s="20">
        <v>0</v>
      </c>
      <c r="H49" s="20">
        <v>663560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34">
        <f>SUM(C49:M49)</f>
        <v>3675020</v>
      </c>
    </row>
    <row r="50" spans="1:17" s="8" customFormat="1" ht="11.25" customHeight="1" x14ac:dyDescent="0.2">
      <c r="A50" s="23" t="s">
        <v>63</v>
      </c>
      <c r="B50" s="36">
        <v>0</v>
      </c>
      <c r="C50" s="19">
        <v>0</v>
      </c>
      <c r="D50" s="19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35">
        <f>SUM(B50:M50)</f>
        <v>0</v>
      </c>
      <c r="Q50" s="15"/>
    </row>
    <row r="51" spans="1:17" s="8" customFormat="1" ht="11.25" customHeight="1" x14ac:dyDescent="0.2">
      <c r="A51" s="2" t="s">
        <v>64</v>
      </c>
      <c r="B51" s="27">
        <f>SUM(B49:B50)</f>
        <v>849950</v>
      </c>
      <c r="C51" s="27">
        <f>SUM(C49:C50)</f>
        <v>0</v>
      </c>
      <c r="D51" s="27">
        <f t="shared" ref="D51:M51" si="8">SUM(D49:D50)</f>
        <v>326990</v>
      </c>
      <c r="E51" s="27">
        <f t="shared" si="8"/>
        <v>2407570</v>
      </c>
      <c r="F51" s="27">
        <f t="shared" si="8"/>
        <v>276900</v>
      </c>
      <c r="G51" s="27">
        <f t="shared" si="8"/>
        <v>0</v>
      </c>
      <c r="H51" s="27">
        <f t="shared" si="8"/>
        <v>663560</v>
      </c>
      <c r="I51" s="27">
        <f t="shared" si="8"/>
        <v>0</v>
      </c>
      <c r="J51" s="27">
        <f t="shared" si="8"/>
        <v>0</v>
      </c>
      <c r="K51" s="27">
        <f t="shared" si="8"/>
        <v>0</v>
      </c>
      <c r="L51" s="27">
        <f t="shared" si="8"/>
        <v>0</v>
      </c>
      <c r="M51" s="29">
        <f t="shared" si="8"/>
        <v>0</v>
      </c>
      <c r="N51" s="35">
        <f>SUM(B51:M51)</f>
        <v>4524970</v>
      </c>
    </row>
    <row r="52" spans="1:17" s="8" customFormat="1" ht="11.25" customHeight="1" x14ac:dyDescent="0.2">
      <c r="A52" s="2" t="s">
        <v>65</v>
      </c>
      <c r="B52" s="28">
        <f t="shared" ref="B52:M52" si="9">B29+B47+B51</f>
        <v>26572280</v>
      </c>
      <c r="C52" s="28">
        <f t="shared" si="9"/>
        <v>20506894</v>
      </c>
      <c r="D52" s="28">
        <f t="shared" si="9"/>
        <v>20855742</v>
      </c>
      <c r="E52" s="28">
        <f t="shared" si="9"/>
        <v>23677468</v>
      </c>
      <c r="F52" s="28">
        <f t="shared" si="9"/>
        <v>21041588</v>
      </c>
      <c r="G52" s="28">
        <f t="shared" si="9"/>
        <v>22034715</v>
      </c>
      <c r="H52" s="28">
        <f t="shared" si="9"/>
        <v>23248519</v>
      </c>
      <c r="I52" s="28">
        <f t="shared" si="9"/>
        <v>24713675</v>
      </c>
      <c r="J52" s="28">
        <f t="shared" si="9"/>
        <v>23077309</v>
      </c>
      <c r="K52" s="28">
        <f t="shared" si="9"/>
        <v>21551893</v>
      </c>
      <c r="L52" s="28">
        <f t="shared" si="9"/>
        <v>31440311</v>
      </c>
      <c r="M52" s="30">
        <f t="shared" si="9"/>
        <v>33192929</v>
      </c>
      <c r="N52" s="28">
        <f>SUM(B52:M52)</f>
        <v>291913323</v>
      </c>
    </row>
    <row r="53" spans="1:17" s="8" customFormat="1" ht="11.25" customHeight="1" x14ac:dyDescent="0.2">
      <c r="A53" s="2" t="s">
        <v>66</v>
      </c>
      <c r="B53" s="28">
        <f>B18-B52</f>
        <v>42916060</v>
      </c>
      <c r="C53" s="28">
        <f t="shared" ref="C53:M53" si="10">C18-C52</f>
        <v>40443168</v>
      </c>
      <c r="D53" s="28">
        <f t="shared" si="10"/>
        <v>42136359</v>
      </c>
      <c r="E53" s="28">
        <f t="shared" si="10"/>
        <v>42322844</v>
      </c>
      <c r="F53" s="28">
        <f t="shared" si="10"/>
        <v>43402965</v>
      </c>
      <c r="G53" s="28">
        <f t="shared" si="10"/>
        <v>44692226</v>
      </c>
      <c r="H53" s="28">
        <f t="shared" si="10"/>
        <v>46210403</v>
      </c>
      <c r="I53" s="28">
        <f t="shared" si="10"/>
        <v>47465691</v>
      </c>
      <c r="J53" s="28">
        <f t="shared" si="10"/>
        <v>51800065</v>
      </c>
      <c r="K53" s="28">
        <f t="shared" si="10"/>
        <v>56698042</v>
      </c>
      <c r="L53" s="28">
        <f t="shared" si="10"/>
        <v>57724174</v>
      </c>
      <c r="M53" s="28">
        <f t="shared" si="10"/>
        <v>55309275</v>
      </c>
      <c r="N53" s="28">
        <f>N17-N52+N6</f>
        <v>55309275</v>
      </c>
    </row>
    <row r="54" spans="1:17" s="8" customFormat="1" ht="11.25" x14ac:dyDescent="0.2">
      <c r="B54" s="15"/>
      <c r="D54" s="15"/>
      <c r="H54" s="15"/>
      <c r="J54" s="15"/>
      <c r="K54" s="15"/>
      <c r="M54" s="15"/>
    </row>
    <row r="55" spans="1:17" s="8" customFormat="1" ht="11.25" x14ac:dyDescent="0.2"/>
    <row r="56" spans="1:17" s="8" customFormat="1" ht="30.75" customHeight="1" x14ac:dyDescent="0.2">
      <c r="A56" s="25"/>
      <c r="B56" s="25"/>
      <c r="C56" s="25"/>
      <c r="I56" s="25"/>
      <c r="J56" s="25"/>
      <c r="K56" s="25"/>
      <c r="L56" s="25"/>
      <c r="M56" s="25"/>
    </row>
    <row r="57" spans="1:17" s="8" customFormat="1" ht="11.25" x14ac:dyDescent="0.2">
      <c r="A57" s="39" t="s">
        <v>67</v>
      </c>
      <c r="B57" s="39"/>
      <c r="C57" s="39"/>
      <c r="F57" s="24" t="s">
        <v>76</v>
      </c>
      <c r="I57" s="39" t="s">
        <v>73</v>
      </c>
      <c r="J57" s="39"/>
      <c r="K57" s="39"/>
      <c r="L57" s="39"/>
      <c r="M57" s="39"/>
    </row>
    <row r="62" spans="1:17" x14ac:dyDescent="0.2">
      <c r="H62" s="37"/>
    </row>
  </sheetData>
  <mergeCells count="12">
    <mergeCell ref="I57:M57"/>
    <mergeCell ref="I4:J4"/>
    <mergeCell ref="K4:L4"/>
    <mergeCell ref="A57:C57"/>
    <mergeCell ref="A1:N1"/>
    <mergeCell ref="B3:D3"/>
    <mergeCell ref="E3:H3"/>
    <mergeCell ref="I3:J3"/>
    <mergeCell ref="K3:L3"/>
    <mergeCell ref="M3:N4"/>
    <mergeCell ref="B4:D4"/>
    <mergeCell ref="E4:H4"/>
  </mergeCells>
  <printOptions horizontalCentered="1"/>
  <pageMargins left="0.76" right="0.2" top="0.23622047244094491" bottom="0.23622047244094491" header="0" footer="0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44" sqref="D44"/>
    </sheetView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PIE ALINE 24 HORAS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Orellana</dc:creator>
  <cp:lastModifiedBy>contabilidad</cp:lastModifiedBy>
  <cp:lastPrinted>2023-03-14T14:26:20Z</cp:lastPrinted>
  <dcterms:created xsi:type="dcterms:W3CDTF">2013-04-17T13:16:46Z</dcterms:created>
  <dcterms:modified xsi:type="dcterms:W3CDTF">2026-04-14T16:50:03Z</dcterms:modified>
</cp:coreProperties>
</file>